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2"/>
  </bookViews>
  <sheets>
    <sheet name="ALL" sheetId="1" state="hidden" r:id="rId1"/>
    <sheet name="报告版" sheetId="2" state="hidden" r:id="rId2"/>
    <sheet name="2020年报告版" sheetId="3" r:id="rId3"/>
    <sheet name="2019年审核明细表-原表" sheetId="4" state="hidden" r:id="rId4"/>
    <sheet name="2019年审核明细表-1" sheetId="6" state="hidden" r:id="rId5"/>
  </sheets>
  <definedNames>
    <definedName name="_xlnm._FilterDatabase" localSheetId="0" hidden="1">ALL!$A$3:$N$213</definedName>
    <definedName name="_xlnm._FilterDatabase" localSheetId="1" hidden="1">报告版!$A$3:$J$226</definedName>
    <definedName name="_xlnm._FilterDatabase" localSheetId="2" hidden="1">'2020年报告版'!$A$3:$F$133</definedName>
    <definedName name="_xlnm._FilterDatabase" localSheetId="3" hidden="1">'2019年审核明细表-原表'!$A$3:$J$256</definedName>
    <definedName name="_xlnm._FilterDatabase" localSheetId="4" hidden="1">'2019年审核明细表-1'!$A$3:$J$255</definedName>
    <definedName name="_xlnm.Print_Area" localSheetId="2">'2020年报告版'!$A$1:$F$133</definedName>
    <definedName name="_xlnm.Print_Titles" localSheetId="2">'2020年报告版'!$1:$3</definedName>
  </definedNames>
  <calcPr calcId="144525"/>
</workbook>
</file>

<file path=xl/sharedStrings.xml><?xml version="1.0" encoding="utf-8"?>
<sst xmlns="http://schemas.openxmlformats.org/spreadsheetml/2006/main" count="3327" uniqueCount="483">
  <si>
    <r>
      <rPr>
        <b/>
        <sz val="16"/>
        <rFont val="Arial Narrow"/>
        <charset val="134"/>
      </rPr>
      <t>2018</t>
    </r>
    <r>
      <rPr>
        <b/>
        <sz val="16"/>
        <rFont val="宋体"/>
        <charset val="134"/>
      </rPr>
      <t>年天津市支持企业参加境内国际性展会项目审核明细表</t>
    </r>
  </si>
  <si>
    <t>金额单位：人民币元</t>
  </si>
  <si>
    <t>序号</t>
  </si>
  <si>
    <t>所属区域</t>
  </si>
  <si>
    <t>企业名称</t>
  </si>
  <si>
    <t>展会名称</t>
  </si>
  <si>
    <t>实际展位
单价</t>
  </si>
  <si>
    <t>展位
数量</t>
  </si>
  <si>
    <t>展位费
金额</t>
  </si>
  <si>
    <t>支持比例（隐藏</t>
  </si>
  <si>
    <t>建议支持
金额</t>
  </si>
  <si>
    <t>登记号</t>
  </si>
  <si>
    <t>区域代买</t>
  </si>
  <si>
    <t>滨海新区</t>
  </si>
  <si>
    <t>天津科林自行车有限公司</t>
  </si>
  <si>
    <t>上海国际自行车展</t>
  </si>
  <si>
    <t>宁河区</t>
  </si>
  <si>
    <t>天津市阿琳达运动器材有限公司</t>
  </si>
  <si>
    <t>津南区</t>
  </si>
  <si>
    <t>天津三延精密机械有限公司</t>
  </si>
  <si>
    <t>中国国际医疗器械博览会</t>
  </si>
  <si>
    <t>北辰区</t>
  </si>
  <si>
    <t>天津市远东蓝剑科技有限公司</t>
  </si>
  <si>
    <t>西青区</t>
  </si>
  <si>
    <t>天津百利鑫生物科技有限公司</t>
  </si>
  <si>
    <t>静海区</t>
  </si>
  <si>
    <t>天津市泰斯特仪器有限公司</t>
  </si>
  <si>
    <t>凯兰德运动科技股份有限公司</t>
  </si>
  <si>
    <t>武清区</t>
  </si>
  <si>
    <t>天津雅文地毯有限公司</t>
  </si>
  <si>
    <t>华东进出口商品交易会</t>
  </si>
  <si>
    <t>天津市金轮信德车业有限公司</t>
  </si>
  <si>
    <t>天津市赛盟医疗科技有限公司</t>
  </si>
  <si>
    <t>天津市康贝科技有限公司</t>
  </si>
  <si>
    <t>美德太平洋（天津）生物科技股份有限公司</t>
  </si>
  <si>
    <t>天津鑫盛车业有限责任公司</t>
  </si>
  <si>
    <t>宝岛车业集团有限公司</t>
  </si>
  <si>
    <t>天津飞鸽车业发展有限公司</t>
  </si>
  <si>
    <t>集团是自主品牌，车业发展不是</t>
  </si>
  <si>
    <t>天津市万华车料有限公司</t>
  </si>
  <si>
    <t>天津全福鞍座有限公司</t>
  </si>
  <si>
    <t>天津光宝车业股份有限公司</t>
  </si>
  <si>
    <t>有电子版</t>
  </si>
  <si>
    <t>天津红海洋纺织品有限公司</t>
  </si>
  <si>
    <t>中国国际地面材料装饰展（地毯）</t>
  </si>
  <si>
    <t>天津雅居地毯有限公司</t>
  </si>
  <si>
    <t>天津市华赛尔地毯有限公司</t>
  </si>
  <si>
    <t>天津兴誉华地毯有限公司</t>
  </si>
  <si>
    <t>天津祥升达工艺品有限公司</t>
  </si>
  <si>
    <t>天津久华地毯有限公司</t>
  </si>
  <si>
    <t>天津市塑料研究所有限公司</t>
  </si>
  <si>
    <t>河北区</t>
  </si>
  <si>
    <t>天津市旭华医疗器械厂</t>
  </si>
  <si>
    <t>中瀚云邦（天津）医疗科技发展有限公司</t>
  </si>
  <si>
    <t>天津盛达新材料有限公司</t>
  </si>
  <si>
    <t>天津市博丰兴电子技术有限公司</t>
  </si>
  <si>
    <t>天津市山佳医药科技有限公司</t>
  </si>
  <si>
    <t>天津瑞莱特斯贸易有限公司</t>
  </si>
  <si>
    <t>中国国际食品和饮料展览会</t>
  </si>
  <si>
    <t>河西区</t>
  </si>
  <si>
    <t>天津鼎隆国际贸易有限公司</t>
  </si>
  <si>
    <t>南开区</t>
  </si>
  <si>
    <t>天津味之源国际贸易股份有限公司</t>
  </si>
  <si>
    <t>天津甘蒂国际贸易有限公司</t>
  </si>
  <si>
    <t>和平区</t>
  </si>
  <si>
    <t>天津为璟科技有限公司</t>
  </si>
  <si>
    <t>天津市盛之和食品股份有限公司</t>
  </si>
  <si>
    <t>宝坻区</t>
  </si>
  <si>
    <t>天津市广益通国际贸易有限公司</t>
  </si>
  <si>
    <t>西姆（天津）国际贸易有限公司</t>
  </si>
  <si>
    <t>生源（天津）生物工程有限公司</t>
  </si>
  <si>
    <t>天津芭薇拉国际贸易有限公司</t>
  </si>
  <si>
    <t>天津百瑞高分子材料有限公司</t>
  </si>
  <si>
    <t>天津捷嘉物流有限公司</t>
  </si>
  <si>
    <t>天津瀚强进出口贸易有限公司</t>
  </si>
  <si>
    <t>红桥区</t>
  </si>
  <si>
    <t>天津海富正鑫国际贸易有限公司</t>
  </si>
  <si>
    <t>海皇食品（天津）有限公司</t>
  </si>
  <si>
    <t>北方国际集团天津医药保健品进出口有限公司</t>
  </si>
  <si>
    <t>蜜雅康（天津）科技有限公司</t>
  </si>
  <si>
    <t>维迪科（天津）国际贸易有限公司</t>
  </si>
  <si>
    <t>优瑞德国际贸易（天津）有限公司</t>
  </si>
  <si>
    <t>天津丰裕泰商贸有限公司</t>
  </si>
  <si>
    <t>天津恒麦国际贸易有限公司</t>
  </si>
  <si>
    <t>天津东疆保税港区国际贸易服务有限公司</t>
  </si>
  <si>
    <t>天津创辉进出口有限公司</t>
  </si>
  <si>
    <t>天津福惠斯特科技发展有限公司</t>
  </si>
  <si>
    <t>天津市博达电子设备有限公司</t>
  </si>
  <si>
    <t>天津市天瑞地毯有限公司</t>
  </si>
  <si>
    <t>天津开发区圣鸿医疗器械有限公司</t>
  </si>
  <si>
    <t>正华通（天津）自行车有限公司</t>
  </si>
  <si>
    <t>中新动力（天津）自行车有限公司</t>
  </si>
  <si>
    <t>天津渤轻进出口有限公司</t>
  </si>
  <si>
    <t>天津市隆兴集团有限公司</t>
  </si>
  <si>
    <t>天津市腾悦地毯有限公司</t>
  </si>
  <si>
    <t>天津飞马纺织有限公司</t>
  </si>
  <si>
    <t>天津广大纸业股份有限公司</t>
  </si>
  <si>
    <t>天津市中亚医疗仪器科技开发有限公司</t>
  </si>
  <si>
    <t>东丽区</t>
  </si>
  <si>
    <t>天津华鸿科技股份有限公司</t>
  </si>
  <si>
    <t>天津市跨越车业有限公司</t>
  </si>
  <si>
    <t>天津市利雅得工贸有限公司</t>
  </si>
  <si>
    <t>天津市颜事达自行车有限公司</t>
  </si>
  <si>
    <t>天津兴起工贸有限公司</t>
  </si>
  <si>
    <t>天津市远东医材有限公司</t>
  </si>
  <si>
    <t>骏业（天津）国际贸易有限公司</t>
  </si>
  <si>
    <t>国医华科（天津）医疗科技集团有限公司</t>
  </si>
  <si>
    <t>瑞安森（天津）医疗器械有限公司</t>
  </si>
  <si>
    <t>中环天仪（天津）气象仪器有限公司</t>
  </si>
  <si>
    <t>东盟博览会</t>
  </si>
  <si>
    <t>天津轮翼运动器材有限公司</t>
  </si>
  <si>
    <t>天津市华顺地毯有限公司</t>
  </si>
  <si>
    <t>河东区</t>
  </si>
  <si>
    <t>天津市三吉科工贸有限公司</t>
  </si>
  <si>
    <t>天津嘉德信医疗科技有限公司</t>
  </si>
  <si>
    <t>天津天瑞玮圣运动器材股份有限公司</t>
  </si>
  <si>
    <t>不通过：参展单位与申报企业的照片不符（合同照片：锦泰、付款发票：瑞玮圣</t>
  </si>
  <si>
    <t>天津市福荣达地毯有限公司</t>
  </si>
  <si>
    <t>天津华冠自行车配件有限公司</t>
  </si>
  <si>
    <t>天津市松正电动汽车技术股份有限公司</t>
  </si>
  <si>
    <t>天津森迪恒生科技发展有限公司</t>
  </si>
  <si>
    <t>天津九安医疗电子股份有限公司</t>
  </si>
  <si>
    <t>恩纳德（天津）机械设备有限公司</t>
  </si>
  <si>
    <t>亚欧博览会</t>
  </si>
  <si>
    <t>天津哈娜好医材有限公司</t>
  </si>
  <si>
    <t>天津万逸德商贸有限公司</t>
  </si>
  <si>
    <t>天津蓝蛇伟业医疗器械有限公司</t>
  </si>
  <si>
    <t>天津市永星织造有限公司</t>
  </si>
  <si>
    <t>天津超拓医疗设备有限公司</t>
  </si>
  <si>
    <t>天津市兰标电子科技发展有限公司</t>
  </si>
  <si>
    <t>天津保莱得科技开发有限公司</t>
  </si>
  <si>
    <t>法兰克福（成都）国际汽配展</t>
  </si>
  <si>
    <t>天津市飞乐汽车照明有限公司</t>
  </si>
  <si>
    <t>天津市企美科技发展有限公司</t>
  </si>
  <si>
    <t>金爱波（天津）五金工具有限公司</t>
  </si>
  <si>
    <t>天津市洪贯自行车有限公司</t>
  </si>
  <si>
    <t>天津市宝力达车业有限责任公司</t>
  </si>
  <si>
    <t>天津市巨马工贸有限公司</t>
  </si>
  <si>
    <t>天津市同业科技发展有限公司</t>
  </si>
  <si>
    <t>天津市固德工贸有限公司</t>
  </si>
  <si>
    <t>天津益尚国际贸易有限公司</t>
  </si>
  <si>
    <t>天津微纳芯科技有限公司</t>
  </si>
  <si>
    <t>天津康汽汽车零部件贸易有限公司</t>
  </si>
  <si>
    <t>天津市聚友自行车有限公司</t>
  </si>
  <si>
    <t>天津世纪金辉医用设备有限公司</t>
  </si>
  <si>
    <t>天津市麦迪克医用器材有限公司</t>
  </si>
  <si>
    <t>天津天堰科技股份有限公司</t>
  </si>
  <si>
    <t>祥锦（天津）车业有限公司</t>
  </si>
  <si>
    <t>艾暾（天津）自行车有限公司</t>
  </si>
  <si>
    <t>天津市祥泰地毯编织有限公司</t>
  </si>
  <si>
    <t>天津市跃飞滤清器有限公司</t>
  </si>
  <si>
    <t>天津海明医疗用品有限公司</t>
  </si>
  <si>
    <t>天津鑫旭成科技有限公司</t>
  </si>
  <si>
    <t>天津市旭成兴自行车有限公司</t>
  </si>
  <si>
    <t>天津金米特科技股份有限公司</t>
  </si>
  <si>
    <t>展位单价</t>
  </si>
  <si>
    <t>天津市富华纸制品有限公司</t>
  </si>
  <si>
    <t>天津博朗科技发展有限公司</t>
  </si>
  <si>
    <t>天津市盛美嘉地毯股份有限公司</t>
  </si>
  <si>
    <t>天津市炜仑工贸有限公司</t>
  </si>
  <si>
    <t>补说明</t>
  </si>
  <si>
    <t>天津市三合顺工贸有限公司</t>
  </si>
  <si>
    <t>天津市连合工贸有限公司</t>
  </si>
  <si>
    <t>天津旭锋运动器材制造有限公司</t>
  </si>
  <si>
    <t>邦盛医疗装备（天津）股份有限公司</t>
  </si>
  <si>
    <t>天津强邦实业有限公司</t>
  </si>
  <si>
    <t>天津市环宇信达国际贸易有限公司</t>
  </si>
  <si>
    <t>奥克兰高分子医用材料（天津）有限公司</t>
  </si>
  <si>
    <t>天津市安耐特自行车有限公司</t>
  </si>
  <si>
    <t>天津市绿之行科技有限公司</t>
  </si>
  <si>
    <t>天津慧医谷科技有限公司</t>
  </si>
  <si>
    <t>天津市静海县汇鑫工贸有限公司</t>
  </si>
  <si>
    <t>天津医药集团众健康达医疗器械有限公司</t>
  </si>
  <si>
    <t>天津迈达医学科技股份有限公司</t>
  </si>
  <si>
    <t>天津远泰模块房制造有限公司</t>
  </si>
  <si>
    <t>天津康丽医疗器械有限公司</t>
  </si>
  <si>
    <t>天津市三木记录纸厂</t>
  </si>
  <si>
    <t>伯纳德（天津）自行车制造有限公司</t>
  </si>
  <si>
    <t>天津滨海中冠胶管有限公司</t>
  </si>
  <si>
    <t>天津锦泰勤业精密电子有限公司</t>
  </si>
  <si>
    <t>中国国际汽车商品交易会</t>
  </si>
  <si>
    <t>天津市康宏医疗器械有限公司</t>
  </si>
  <si>
    <t>天津市艾美特自行车有限公司</t>
  </si>
  <si>
    <t>天津市健祥辐条工贸有限公司</t>
  </si>
  <si>
    <t>天津市安佰特运动器材有限公司</t>
  </si>
  <si>
    <t>星愿兰德（天津）企业有限公司</t>
  </si>
  <si>
    <t>东葛树脂（天津）有限公司</t>
  </si>
  <si>
    <t>天津市元昌生物试剂销售有限公司</t>
  </si>
  <si>
    <t>天津市天宇胶管股份有限公司</t>
  </si>
  <si>
    <t>其中一笔付款为滨海中冠胶管（中冠也报了），是否放错-需补充——有电子版</t>
  </si>
  <si>
    <t>天津奥斯博格科技有限公司</t>
  </si>
  <si>
    <t>鼎佳（天津）汽车电子有限公司</t>
  </si>
  <si>
    <t>天津市三桥包装机械有限责任公司</t>
  </si>
  <si>
    <t>天津市克兰佰瑞自行车股份有限公司</t>
  </si>
  <si>
    <t>天津中新科炬生物制药股份有限公司</t>
  </si>
  <si>
    <t>斯博特（天津）自行车有限公司</t>
  </si>
  <si>
    <t>天津市富士成科技有限公司</t>
  </si>
  <si>
    <t>天津市海之川国际贸易有限公司</t>
  </si>
  <si>
    <t>天津富长盛地毯有限公司</t>
  </si>
  <si>
    <t>天津市立颖地毯制造有限公司</t>
  </si>
  <si>
    <t>天津市飞熊地毯有限公司</t>
  </si>
  <si>
    <t>天津昊鑫国际贸易有限公司</t>
  </si>
  <si>
    <t>天津如通科技有限公司</t>
  </si>
  <si>
    <t>天津襄景实业有限公司</t>
  </si>
  <si>
    <t>天津伊丹尔地毯有限公司</t>
  </si>
  <si>
    <t>天津盛荣纺织品有限公司</t>
  </si>
  <si>
    <t>天津市源丰盛地毯有限公司</t>
  </si>
  <si>
    <t>天津市豪饰地毯有限公司</t>
  </si>
  <si>
    <t>天津福远科技发展有限公司</t>
  </si>
  <si>
    <t>天津天博纺织品有限公司</t>
  </si>
  <si>
    <t>天津大方纺织品有限公司</t>
  </si>
  <si>
    <t>天津盛通德国际贸易有限公司</t>
  </si>
  <si>
    <t>天津金凯誉达国际贸易有限公司</t>
  </si>
  <si>
    <t>天津莫瑞地毯有限公司</t>
  </si>
  <si>
    <t>16ping</t>
  </si>
  <si>
    <t>天津惠尔佳地毯有限公司</t>
  </si>
  <si>
    <t>天津松顺达地毯有限公司</t>
  </si>
  <si>
    <t>天津斯派伦地毯有限公司</t>
  </si>
  <si>
    <t>天津麦迪安医用电子科技有限公司</t>
  </si>
  <si>
    <t>天津赛之顺制动器有限公司</t>
  </si>
  <si>
    <t>天津市格林沃德进出口有限公司</t>
  </si>
  <si>
    <t>天津锡玛商贸有限公司</t>
  </si>
  <si>
    <t>天津艾格森工艺品有限公司</t>
  </si>
  <si>
    <t>天津荣顺地毯有限公司</t>
  </si>
  <si>
    <t>天津市树成地毯有限公司</t>
  </si>
  <si>
    <t>天津市泽硕地毯贸易有限公司</t>
  </si>
  <si>
    <t>天津市福荣地毯有限公司</t>
  </si>
  <si>
    <t>天津华瑞利丰地毯有限公司</t>
  </si>
  <si>
    <t>天津市港虹地毯有限公司</t>
  </si>
  <si>
    <t>天津雪歌科技有限公司</t>
  </si>
  <si>
    <t>欧菲特（天津）汽配贸易有限公司</t>
  </si>
  <si>
    <t>天津立锋工贸发展有限公司</t>
  </si>
  <si>
    <t>天津市天健科贸有限公司</t>
  </si>
  <si>
    <t>天津市卡希玛车业有限公司</t>
  </si>
  <si>
    <t>天津市万达轮胎集团有限公司</t>
  </si>
  <si>
    <t>不通过：1付款为振新橡胶，企业表示为下属企业则需补充隶属关系证明（审计报告、公司章程等）同时需要组织结构优化-付款组织调整变更的会议纪要、协议等。2无合同的附件二费用清单无法计算展位单价 ——补不来会议纪要，已告知企业</t>
  </si>
  <si>
    <t>天津市凯峰地毯有限公司</t>
  </si>
  <si>
    <t>天津市津一汽车电子系统有限公司</t>
  </si>
  <si>
    <t>天津众恒汽车减震器有限公司</t>
  </si>
  <si>
    <t>天津市盖恩思商贸有限公司</t>
  </si>
  <si>
    <t>天津龙星铝箔制品有限公司</t>
  </si>
  <si>
    <t>天津市大诺科技有限公司</t>
  </si>
  <si>
    <t>天津市武清区兴洋机械制造有限公司</t>
  </si>
  <si>
    <t>天津自贸通外贸服务股份有限公司</t>
  </si>
  <si>
    <t>民康医疗科技（天津）有限公司</t>
  </si>
  <si>
    <t>滨海新区小计</t>
  </si>
  <si>
    <t>和平区小计</t>
  </si>
  <si>
    <t>河北区小计</t>
  </si>
  <si>
    <t>河东区小计</t>
  </si>
  <si>
    <t>河西区小计</t>
  </si>
  <si>
    <t>南开区小计</t>
  </si>
  <si>
    <t>红桥区小计</t>
  </si>
  <si>
    <t>东丽区小计</t>
  </si>
  <si>
    <t>西青区小计</t>
  </si>
  <si>
    <t>津南区小计</t>
  </si>
  <si>
    <t>北辰区小计</t>
  </si>
  <si>
    <t>武清区小计</t>
  </si>
  <si>
    <t>宝坻区小计</t>
  </si>
  <si>
    <t>宁河区小计</t>
  </si>
  <si>
    <t>静海区小计</t>
  </si>
  <si>
    <t>合计</t>
  </si>
  <si>
    <r>
      <rPr>
        <b/>
        <sz val="16"/>
        <rFont val="Arial Narrow"/>
        <charset val="134"/>
      </rPr>
      <t>2020</t>
    </r>
    <r>
      <rPr>
        <b/>
        <sz val="16"/>
        <rFont val="宋体"/>
        <charset val="134"/>
      </rPr>
      <t>年天津市支持企业参加境内国际性展会项目审核明细表</t>
    </r>
  </si>
  <si>
    <t>本隆商事（天津）国际贸易有限公司</t>
  </si>
  <si>
    <t>中国国际健康产品博览会</t>
  </si>
  <si>
    <t>金太阳国际贸易（天津）有限公司</t>
  </si>
  <si>
    <t>世纪亿康（天津）医疗科技发展有限公司</t>
  </si>
  <si>
    <t>天津盖亚国际贸易有限公司</t>
  </si>
  <si>
    <t>天津美尚国际贸易有限公司</t>
  </si>
  <si>
    <t>天津市富集科技有限公司</t>
  </si>
  <si>
    <t>天津市诺和益丰国际贸易有限公司</t>
  </si>
  <si>
    <t>天津市普瑞仪器有限公司</t>
  </si>
  <si>
    <t>天津市协和医药科技集团有限公司</t>
  </si>
  <si>
    <t>天津斯迈利科技有限公司</t>
  </si>
  <si>
    <t>天津索玛科技有限公司</t>
  </si>
  <si>
    <t>天津佐藤环保机械有限公司</t>
  </si>
  <si>
    <t>依脉人工智能医疗科技（天津）有限公司</t>
  </si>
  <si>
    <t>天津医药集团众健康达医疗科技有限公司</t>
  </si>
  <si>
    <t>天津市汇田电工技术有限公司</t>
  </si>
  <si>
    <t>天津市精工医疗设备技术有限公司</t>
  </si>
  <si>
    <t>天津市兆升医用记录纸厂（普通合伙）</t>
  </si>
  <si>
    <t>天津市顺博医疗设备有限公司</t>
  </si>
  <si>
    <t>天津达仁堂京万红药业有限公司</t>
  </si>
  <si>
    <t>天津金曦医疗设备有限公司</t>
  </si>
  <si>
    <t>天津中鼎生物医学科技有限公司</t>
  </si>
  <si>
    <t>天津好康福健康科技有限公司</t>
  </si>
  <si>
    <t>天津市恭康医疗科技有限公司</t>
  </si>
  <si>
    <t>天津市蓝航医疗科技有限公司</t>
  </si>
  <si>
    <t>天津市长静康复器具有限公司</t>
  </si>
  <si>
    <t>稳领（天津）医学科技有限公司</t>
  </si>
  <si>
    <t>源博（天津）医疗科技发展有限公司</t>
  </si>
  <si>
    <t>天津康美图云医医疗器械科技有限公司</t>
  </si>
  <si>
    <t>天津派普大业仪器科技有限公司</t>
  </si>
  <si>
    <t>天津市晨亨医疗器械有限公司</t>
  </si>
  <si>
    <t>天津长荣科技集团股份有限公司</t>
  </si>
  <si>
    <t>日日升科技（天津）有限公司</t>
  </si>
  <si>
    <t>泰茂隆地毯（天津）有限公司</t>
  </si>
  <si>
    <t>天津奥德瑞齐科技有限公司</t>
  </si>
  <si>
    <t>天津奥斯坦丁国际贸易有限公司</t>
  </si>
  <si>
    <t>天津百晟工艺品有限公司</t>
  </si>
  <si>
    <t>天津博硕倍生物科技有限公司</t>
  </si>
  <si>
    <t>天津德怡科技股份公司</t>
  </si>
  <si>
    <t>全国工艺品交易会</t>
  </si>
  <si>
    <t>天津福达通地毯有限公司</t>
  </si>
  <si>
    <t>天津宏亚达地毯有限公司</t>
  </si>
  <si>
    <t>天津聚鼎地毯有限公司</t>
  </si>
  <si>
    <t>天津莱克精灵国际贸易有限公司</t>
  </si>
  <si>
    <t>天津陆赢地毯有限公司</t>
  </si>
  <si>
    <t>天津梦都美地毯有限公司</t>
  </si>
  <si>
    <t>天津明臣地毯有限公司</t>
  </si>
  <si>
    <t>天津欧雅瑞尔地毯有限公司</t>
  </si>
  <si>
    <t>天津派格地毯有限公司</t>
  </si>
  <si>
    <t>天津市奥丰地毯有限公司</t>
  </si>
  <si>
    <t>天津市达昊地毯有限公司</t>
  </si>
  <si>
    <t>天津市海鹰地毯有限公司</t>
  </si>
  <si>
    <t>天津市鸿年地毯有限公司</t>
  </si>
  <si>
    <t>天津市库博地毯有限公司</t>
  </si>
  <si>
    <t>天津市普光医用材料制造有限公司</t>
  </si>
  <si>
    <t>天津市双存工艺品有限公司</t>
  </si>
  <si>
    <t>天津市天海天地毯制造有限公司</t>
  </si>
  <si>
    <t>天津舒尔美地毯有限公司</t>
  </si>
  <si>
    <t>天津天鸿地毯有限公司</t>
  </si>
  <si>
    <t>天津天韵地毯制造有限公司</t>
  </si>
  <si>
    <t>天津通鸿达地毯有限公司</t>
  </si>
  <si>
    <t>天津玺鑫科技有限公司</t>
  </si>
  <si>
    <t>天津晓菲工艺品有限公司</t>
  </si>
  <si>
    <t>天津艺海园国际贸易有限公司</t>
  </si>
  <si>
    <t>天津原羚进出口贸易有限公司</t>
  </si>
  <si>
    <t>天津正丽亚地毯有限公司</t>
  </si>
  <si>
    <t>天津中冠地毯有限公司</t>
  </si>
  <si>
    <t>天津乐盈地毯有限公司</t>
  </si>
  <si>
    <t>天津恒威达植物素进出口贸易有限公司</t>
  </si>
  <si>
    <t>天津市宇通医疗器械厂（普通合伙）</t>
  </si>
  <si>
    <t>天津泰康阳光科技发展有限公司</t>
  </si>
  <si>
    <t xml:space="preserve"> </t>
  </si>
  <si>
    <r>
      <rPr>
        <b/>
        <sz val="16"/>
        <rFont val="Arial Narrow"/>
        <charset val="134"/>
      </rPr>
      <t>2019</t>
    </r>
    <r>
      <rPr>
        <b/>
        <sz val="16"/>
        <rFont val="宋体"/>
        <charset val="134"/>
      </rPr>
      <t>年天津市支持企业参加境内国际性展会项目审核明细表</t>
    </r>
  </si>
  <si>
    <t>备注</t>
  </si>
  <si>
    <t>天津飘洋贸易有限公司</t>
  </si>
  <si>
    <t>天津市海固五金制品有限公司</t>
  </si>
  <si>
    <t>法兰克福（上海）国际汽配展</t>
  </si>
  <si>
    <t>天津光宝车业有限公司</t>
  </si>
  <si>
    <t>天津进口商品中心有限公司</t>
  </si>
  <si>
    <t>天津新锐上达服饰有限公司</t>
  </si>
  <si>
    <t>天鼎康医疗健康管理（天津）有限公司</t>
  </si>
  <si>
    <t>天津市赛威运动器材有限公司</t>
  </si>
  <si>
    <t>天津华澳滤清器有限公司</t>
  </si>
  <si>
    <t>天津天诚泰和进出口有限公司</t>
  </si>
  <si>
    <t>天津市伊诺尚美厨房家具有限公司</t>
  </si>
  <si>
    <t>中国国际实木家具展览会</t>
  </si>
  <si>
    <t>天津弘宇自行车有限公司</t>
  </si>
  <si>
    <t>天津市新阳汽车电子有限公司</t>
  </si>
  <si>
    <t>天津市津桥绝缘材料有限公司</t>
  </si>
  <si>
    <t>汇玖隆（天津）电子商务有限公司</t>
  </si>
  <si>
    <t>天津中电天工汽车配件有限公司</t>
  </si>
  <si>
    <t>天津市沃达汽车电子有限公司</t>
  </si>
  <si>
    <t>天津佛斯莱斯汽车电子有限公司</t>
  </si>
  <si>
    <t>天津市增益达精锻齿轮科技有限公司</t>
  </si>
  <si>
    <t>天津翊腾嘉业商贸有限公司</t>
  </si>
  <si>
    <t>天津立津伟业机电有限公司</t>
  </si>
  <si>
    <t>天津市安仕达自行车有限公司</t>
  </si>
  <si>
    <t>高新区</t>
  </si>
  <si>
    <t>天津市天悦家居用品有限公司</t>
  </si>
  <si>
    <t>天津都市玛自行车有限公司</t>
  </si>
  <si>
    <t>天津市安贝医疗设备技术有限公司</t>
  </si>
  <si>
    <t>天津天雅地毯有限公司</t>
  </si>
  <si>
    <t>天津歌旅服饰进出口有限公司</t>
  </si>
  <si>
    <t>天津市三奇丰进出口有限公司</t>
  </si>
  <si>
    <t>提供的展馆照片与申请单位名称不符</t>
  </si>
  <si>
    <t>天津市飞亚达钢珠有限公司</t>
  </si>
  <si>
    <t>天津市裕恩橡塑科技有限公司</t>
  </si>
  <si>
    <t>天津斯巴克瑞汽车电子股份有限公司</t>
  </si>
  <si>
    <t>天津市凯诺实业有限公司</t>
  </si>
  <si>
    <t>天津帮迪科技发展有限公司</t>
  </si>
  <si>
    <t>天津柏克森科技有限公司</t>
  </si>
  <si>
    <t>无汇款回单-已经补充</t>
  </si>
  <si>
    <t>天津市木数信息科技有限公司</t>
  </si>
  <si>
    <t>无汇款单位名称的发票-已经补充</t>
  </si>
  <si>
    <t>天津通桥进出口有限公司</t>
  </si>
  <si>
    <t>天津钰晟源国际贸易有限公司</t>
  </si>
  <si>
    <t>天津市鑫湖工艺品有限公司</t>
  </si>
  <si>
    <t>天津美迪斯医疗用品有限公司</t>
  </si>
  <si>
    <t>天津盛方泰科技有限公司</t>
  </si>
  <si>
    <t>天津海鸥表业集团有限公司</t>
  </si>
  <si>
    <t>中国-俄罗斯博览会</t>
  </si>
  <si>
    <t>天津金得兰德贸易有限公司</t>
  </si>
  <si>
    <t>天津美术颜料厂</t>
  </si>
  <si>
    <t>际华三五二二装具饰品有限公司</t>
  </si>
  <si>
    <t>际华（天津）新能源投资有限公司</t>
  </si>
  <si>
    <t>天津郁美净集团有限公司</t>
  </si>
  <si>
    <t>天津市博瑞特自行车有限公司</t>
  </si>
  <si>
    <t>邦缔实业（天津）有限公司</t>
  </si>
  <si>
    <t>天津市永发地毯有限公司</t>
  </si>
  <si>
    <t>绍风阁（天津）文化传播有限公司</t>
  </si>
  <si>
    <t>天津美奥源商贸有限公司</t>
  </si>
  <si>
    <t>天津卓远地毯有限公司</t>
  </si>
  <si>
    <t>天津市弗蓝国际贸易有限公司</t>
  </si>
  <si>
    <t>天津麦迪安医疗器械有限公司</t>
  </si>
  <si>
    <t>天津市天塑科技集团有限公司</t>
  </si>
  <si>
    <t>现金1万元票据丢失，少申报一万元。企业已经认可。</t>
  </si>
  <si>
    <t>已经补银行回单、发票（实际付款少3000元。少申报3000元，企业已经认可）</t>
  </si>
  <si>
    <t>天津市阿根园进出口贸易有限公司</t>
  </si>
  <si>
    <t>天津金贝尔地毯股份有限公司</t>
  </si>
  <si>
    <t>天津捷马电动科技有限公司</t>
  </si>
  <si>
    <t>天津金昌顺地毯有限公司</t>
  </si>
  <si>
    <t>天津市慈济康复器材厂</t>
  </si>
  <si>
    <t>天津爱赛克车业有限公司</t>
  </si>
  <si>
    <t>天津市斯梅尔进出口有限公司</t>
  </si>
  <si>
    <t>天津市医疗器械厂有限公司</t>
  </si>
  <si>
    <t>天津森祥自行车有限公司</t>
  </si>
  <si>
    <t>贝隆（天津）家具有限公司</t>
  </si>
  <si>
    <t>要补展位费20204元发票</t>
  </si>
  <si>
    <t>已补照片</t>
  </si>
  <si>
    <t>艾喜路（天津）润滑科技有限公司</t>
  </si>
  <si>
    <t>华佑尔展览</t>
  </si>
  <si>
    <t>重新提供参展照片</t>
  </si>
  <si>
    <t>需要补29924元发票</t>
  </si>
  <si>
    <t>打电话无人接听转商委</t>
  </si>
  <si>
    <t>天津市中驰科技有限公司</t>
  </si>
  <si>
    <t>需要补展会照片</t>
  </si>
  <si>
    <t>已经补充</t>
  </si>
  <si>
    <t>天津麦克斯菲特国际贸易有限公司</t>
  </si>
  <si>
    <t>天津市梦展汽车灯有限公司</t>
  </si>
  <si>
    <t>天津市永隆渤润商贸有限公司</t>
  </si>
  <si>
    <t>中盛奥通</t>
  </si>
  <si>
    <t>土畜</t>
  </si>
  <si>
    <t>协升</t>
  </si>
  <si>
    <t>天津盛世华嘉商贸有限公司</t>
  </si>
  <si>
    <t>千木楪家具（天津）有限公司</t>
  </si>
  <si>
    <t>天津市卓润地毯有限公司</t>
  </si>
  <si>
    <t>天津市武清区新发地毯有限公司</t>
  </si>
  <si>
    <t>天津青南地毯有限公司</t>
  </si>
  <si>
    <t>万耀企龙</t>
  </si>
  <si>
    <t>天津泽昊地毯有限公司</t>
  </si>
  <si>
    <t>天津市冠金自行车零件制造有限公司</t>
  </si>
  <si>
    <t>与210费用清单一样</t>
  </si>
  <si>
    <t>对外经贸</t>
  </si>
  <si>
    <t>上海协升</t>
  </si>
  <si>
    <t>天津吉象地毯有限公司</t>
  </si>
  <si>
    <t>天津青松华药医药有限公司</t>
  </si>
  <si>
    <t>机构住所地址与通信地址（和平区）不一致；展会时间对不上</t>
  </si>
  <si>
    <t>付款单错误，是与对外经济贸易企业协会的付款单16800元</t>
  </si>
  <si>
    <t>已经补</t>
  </si>
  <si>
    <t>天津市奥美工贸有限公司</t>
  </si>
  <si>
    <t>天津市瑞安自行车有限公司</t>
  </si>
  <si>
    <t>差700元的付款单及发票</t>
  </si>
  <si>
    <t>天津市东陆自行车有限公司</t>
  </si>
  <si>
    <t>机构住所地址与通信地址（和平区）不一致</t>
  </si>
  <si>
    <t>法拉达汽车散热器（天津）有限公司</t>
  </si>
  <si>
    <t>天津市迎大华食品机械制造有限公司</t>
  </si>
  <si>
    <t>天津华亮科技有限公司</t>
  </si>
  <si>
    <t>天津市逸轩地毯有限公司</t>
  </si>
  <si>
    <t>中国食品土畜进出口商会</t>
  </si>
  <si>
    <t>国大（天津）科技发展股份有限公司</t>
  </si>
  <si>
    <t>蓟州区</t>
  </si>
  <si>
    <t>天津维康健达农业科技发展有限公司</t>
  </si>
  <si>
    <t>北京博睿鑫源展览有限公司</t>
  </si>
  <si>
    <t>参展合同超级清楚</t>
  </si>
  <si>
    <t>参展合同看不清</t>
  </si>
  <si>
    <t>补展会照片</t>
  </si>
  <si>
    <t>已补展会照片</t>
  </si>
  <si>
    <t>天津市艾尔奇自行车股份有限公司</t>
  </si>
  <si>
    <t>天津巨越地毯有限公司</t>
  </si>
  <si>
    <t>天津美尔诺工贸有限公司</t>
  </si>
  <si>
    <t>天津市东方弘叶木业制品有限责任公司</t>
  </si>
  <si>
    <t>三萌（天津）编制品有限公司</t>
  </si>
  <si>
    <t>天津海拓地毯有限公司</t>
  </si>
  <si>
    <t>天津莎美尔地毯有限公司</t>
  </si>
  <si>
    <t>银行水单看不清</t>
  </si>
  <si>
    <t>补了照片</t>
  </si>
  <si>
    <t>天津全和地毯机械有限公司</t>
  </si>
  <si>
    <t>天津市捷创自行车有限公司</t>
  </si>
  <si>
    <t>申报表没有盖财务章、参展照片没有盖财务章</t>
  </si>
  <si>
    <t>天津虎客科技有限公司</t>
  </si>
  <si>
    <t>天津钜德成金属制品有限公司</t>
  </si>
  <si>
    <t>天津光合翼车业有限公司</t>
  </si>
  <si>
    <t>天津市佳川地毯有限公司</t>
  </si>
  <si>
    <t>威斯丁（天津）实业有限责任公司</t>
  </si>
  <si>
    <t>打电话</t>
  </si>
  <si>
    <t>天津市双合盛食品有限公司</t>
  </si>
  <si>
    <t>标准展位9平米？</t>
  </si>
  <si>
    <t>需要补报名申请表或展位费明细</t>
  </si>
  <si>
    <t>电话打了3个没人接听转商委</t>
  </si>
  <si>
    <t>类比217</t>
  </si>
  <si>
    <t>已补充</t>
  </si>
</sst>
</file>

<file path=xl/styles.xml><?xml version="1.0" encoding="utf-8"?>
<styleSheet xmlns="http://schemas.openxmlformats.org/spreadsheetml/2006/main">
  <numFmts count="6">
    <numFmt numFmtId="176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_ * #,##0_ ;_ * \-#,##0_ ;_ 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34"/>
      <scheme val="minor"/>
    </font>
    <font>
      <b/>
      <sz val="16"/>
      <name val="Arial Narrow"/>
      <charset val="134"/>
    </font>
    <font>
      <sz val="11"/>
      <name val="Arial Narrow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b/>
      <sz val="11"/>
      <name val="Arial Narrow"/>
      <charset val="134"/>
    </font>
    <font>
      <sz val="9"/>
      <name val="Arial Narrow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6" fillId="20" borderId="12" applyNumberFormat="false" applyAlignment="false" applyProtection="false">
      <alignment vertical="center"/>
    </xf>
    <xf numFmtId="0" fontId="22" fillId="16" borderId="9" applyNumberFormat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3" fillId="0" borderId="1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21" fillId="33" borderId="14" applyNumberFormat="false" applyFon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32" fillId="20" borderId="10" applyNumberFormat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24" fillId="18" borderId="10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</cellStyleXfs>
  <cellXfs count="85">
    <xf numFmtId="0" fontId="0" fillId="0" borderId="0" xfId="0">
      <alignment vertical="center"/>
    </xf>
    <xf numFmtId="0" fontId="1" fillId="0" borderId="0" xfId="0" applyNumberFormat="true" applyFont="true" applyAlignment="true">
      <alignment horizontal="center" vertical="center" wrapText="true"/>
    </xf>
    <xf numFmtId="0" fontId="2" fillId="0" borderId="0" xfId="0" applyNumberFormat="true" applyFont="true" applyAlignment="true">
      <alignment horizontal="center" vertical="center"/>
    </xf>
    <xf numFmtId="0" fontId="2" fillId="0" borderId="0" xfId="0" applyNumberFormat="true" applyFont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/>
    </xf>
    <xf numFmtId="43" fontId="5" fillId="0" borderId="0" xfId="0" applyNumberFormat="true" applyFont="true" applyAlignment="true">
      <alignment horizontal="center" vertical="center"/>
    </xf>
    <xf numFmtId="43" fontId="2" fillId="0" borderId="0" xfId="0" applyNumberFormat="true" applyFont="true" applyAlignment="true">
      <alignment horizontal="center" vertical="center"/>
    </xf>
    <xf numFmtId="9" fontId="2" fillId="0" borderId="0" xfId="0" applyNumberFormat="true" applyFont="true" applyAlignment="true">
      <alignment horizontal="center" vertical="center"/>
    </xf>
    <xf numFmtId="43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9" fontId="6" fillId="0" borderId="1" xfId="0" applyNumberFormat="true" applyFont="true" applyBorder="true" applyAlignment="true">
      <alignment horizontal="center" vertical="center" wrapText="true"/>
    </xf>
    <xf numFmtId="43" fontId="5" fillId="0" borderId="1" xfId="0" applyNumberFormat="true" applyFont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/>
    </xf>
    <xf numFmtId="9" fontId="5" fillId="0" borderId="1" xfId="0" applyNumberFormat="true" applyFont="true" applyBorder="true" applyAlignment="true">
      <alignment horizontal="center" vertical="center"/>
    </xf>
    <xf numFmtId="0" fontId="7" fillId="0" borderId="0" xfId="0" applyNumberFormat="true" applyFont="true" applyAlignment="true">
      <alignment horizontal="center" vertical="center"/>
    </xf>
    <xf numFmtId="43" fontId="4" fillId="0" borderId="0" xfId="0" applyNumberFormat="true" applyFont="true" applyAlignment="true">
      <alignment horizontal="right" vertical="center"/>
    </xf>
    <xf numFmtId="43" fontId="3" fillId="0" borderId="1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/>
    </xf>
    <xf numFmtId="0" fontId="4" fillId="0" borderId="1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/>
    </xf>
    <xf numFmtId="0" fontId="3" fillId="0" borderId="1" xfId="0" applyNumberFormat="true" applyFont="true" applyBorder="true" applyAlignment="true">
      <alignment horizontal="center" vertical="center"/>
    </xf>
    <xf numFmtId="43" fontId="6" fillId="0" borderId="1" xfId="0" applyNumberFormat="true" applyFont="true" applyBorder="true" applyAlignment="true">
      <alignment horizontal="center" vertical="center"/>
    </xf>
    <xf numFmtId="0" fontId="8" fillId="0" borderId="0" xfId="0" applyNumberFormat="true" applyFont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/>
    </xf>
    <xf numFmtId="0" fontId="4" fillId="3" borderId="1" xfId="0" applyNumberFormat="true" applyFont="true" applyFill="true" applyBorder="true" applyAlignment="true">
      <alignment horizontal="center" vertical="center"/>
    </xf>
    <xf numFmtId="43" fontId="5" fillId="2" borderId="1" xfId="0" applyNumberFormat="true" applyFont="true" applyFill="true" applyBorder="true" applyAlignment="true">
      <alignment horizontal="center" vertical="center"/>
    </xf>
    <xf numFmtId="0" fontId="5" fillId="2" borderId="1" xfId="0" applyNumberFormat="true" applyFont="true" applyFill="true" applyBorder="true" applyAlignment="true">
      <alignment horizontal="center" vertical="center"/>
    </xf>
    <xf numFmtId="9" fontId="5" fillId="2" borderId="1" xfId="0" applyNumberFormat="true" applyFont="true" applyFill="true" applyBorder="true" applyAlignment="true">
      <alignment horizontal="center" vertical="center"/>
    </xf>
    <xf numFmtId="43" fontId="5" fillId="3" borderId="1" xfId="0" applyNumberFormat="true" applyFont="true" applyFill="true" applyBorder="true" applyAlignment="true">
      <alignment horizontal="center" vertical="center"/>
    </xf>
    <xf numFmtId="0" fontId="5" fillId="3" borderId="1" xfId="0" applyNumberFormat="true" applyFont="true" applyFill="true" applyBorder="true" applyAlignment="true">
      <alignment horizontal="center" vertical="center"/>
    </xf>
    <xf numFmtId="9" fontId="5" fillId="3" borderId="1" xfId="0" applyNumberFormat="true" applyFont="true" applyFill="true" applyBorder="true" applyAlignment="true">
      <alignment horizontal="center" vertical="center"/>
    </xf>
    <xf numFmtId="0" fontId="7" fillId="2" borderId="1" xfId="0" applyNumberFormat="true" applyFont="true" applyFill="true" applyBorder="true" applyAlignment="true">
      <alignment horizontal="center" vertical="center"/>
    </xf>
    <xf numFmtId="0" fontId="7" fillId="2" borderId="2" xfId="0" applyNumberFormat="true" applyFont="true" applyFill="true" applyBorder="true" applyAlignment="true">
      <alignment horizontal="center" vertical="center"/>
    </xf>
    <xf numFmtId="0" fontId="7" fillId="3" borderId="1" xfId="0" applyNumberFormat="true" applyFont="true" applyFill="true" applyBorder="true" applyAlignment="true">
      <alignment horizontal="center" vertical="center" wrapText="true"/>
    </xf>
    <xf numFmtId="0" fontId="7" fillId="3" borderId="3" xfId="0" applyNumberFormat="true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3" borderId="1" xfId="0" applyNumberFormat="true" applyFont="true" applyFill="true" applyBorder="true" applyAlignment="true">
      <alignment horizontal="center" vertical="center" wrapText="true"/>
    </xf>
    <xf numFmtId="0" fontId="6" fillId="4" borderId="1" xfId="0" applyNumberFormat="true" applyFont="true" applyFill="true" applyBorder="true" applyAlignment="true">
      <alignment horizontal="center" vertical="center"/>
    </xf>
    <xf numFmtId="0" fontId="9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/>
    </xf>
    <xf numFmtId="0" fontId="2" fillId="0" borderId="0" xfId="0" applyNumberFormat="true" applyFont="true" applyFill="true" applyAlignment="true">
      <alignment horizontal="left"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10" fillId="0" borderId="4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/>
    </xf>
    <xf numFmtId="0" fontId="11" fillId="0" borderId="4" xfId="0" applyNumberFormat="true" applyFont="true" applyFill="true" applyBorder="true" applyAlignment="true">
      <alignment horizontal="left" vertical="center"/>
    </xf>
    <xf numFmtId="0" fontId="4" fillId="0" borderId="4" xfId="0" applyNumberFormat="true" applyFont="true" applyFill="true" applyBorder="true" applyAlignment="true">
      <alignment horizontal="left" vertical="center"/>
    </xf>
    <xf numFmtId="0" fontId="11" fillId="0" borderId="4" xfId="0" applyNumberFormat="true" applyFont="true" applyFill="true" applyBorder="true" applyAlignment="true">
      <alignment horizontal="center" vertical="center"/>
    </xf>
    <xf numFmtId="0" fontId="3" fillId="0" borderId="4" xfId="0" applyNumberFormat="true" applyFont="true" applyFill="true" applyBorder="true" applyAlignment="true">
      <alignment horizontal="center" vertical="center"/>
    </xf>
    <xf numFmtId="0" fontId="10" fillId="0" borderId="4" xfId="0" applyNumberFormat="true" applyFont="true" applyFill="true" applyBorder="true" applyAlignment="true">
      <alignment horizontal="center" vertical="center"/>
    </xf>
    <xf numFmtId="0" fontId="7" fillId="0" borderId="0" xfId="0" applyNumberFormat="true" applyFont="true" applyFill="true" applyAlignment="true">
      <alignment vertical="center"/>
    </xf>
    <xf numFmtId="43" fontId="4" fillId="0" borderId="0" xfId="0" applyNumberFormat="true" applyFont="true" applyFill="true" applyAlignment="true">
      <alignment horizontal="right" vertical="center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43" fontId="3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/>
    </xf>
    <xf numFmtId="176" fontId="7" fillId="0" borderId="4" xfId="0" applyNumberFormat="true" applyFont="true" applyFill="true" applyBorder="true" applyAlignment="true">
      <alignment vertical="center"/>
    </xf>
    <xf numFmtId="0" fontId="6" fillId="0" borderId="4" xfId="0" applyNumberFormat="true" applyFont="true" applyFill="true" applyBorder="true" applyAlignment="true">
      <alignment horizontal="center" vertical="center"/>
    </xf>
    <xf numFmtId="176" fontId="8" fillId="0" borderId="4" xfId="0" applyNumberFormat="true" applyFont="true" applyFill="true" applyBorder="true" applyAlignment="true">
      <alignment vertical="center"/>
    </xf>
    <xf numFmtId="0" fontId="8" fillId="0" borderId="4" xfId="0" applyNumberFormat="true" applyFont="true" applyFill="true" applyBorder="true" applyAlignment="true">
      <alignment horizontal="center" vertical="center"/>
    </xf>
    <xf numFmtId="0" fontId="7" fillId="0" borderId="0" xfId="0" applyNumberFormat="true" applyFont="true" applyFill="true" applyAlignment="true">
      <alignment horizontal="center" vertical="center"/>
    </xf>
    <xf numFmtId="0" fontId="7" fillId="0" borderId="0" xfId="0" applyNumberFormat="true" applyFont="true" applyFill="true" applyAlignment="true">
      <alignment horizontal="left" vertical="center"/>
    </xf>
    <xf numFmtId="0" fontId="12" fillId="0" borderId="4" xfId="0" applyNumberFormat="true" applyFont="true" applyFill="true" applyBorder="true" applyAlignment="true">
      <alignment horizontal="center" vertical="center"/>
    </xf>
    <xf numFmtId="43" fontId="2" fillId="0" borderId="0" xfId="0" applyNumberFormat="true" applyFont="true" applyFill="true" applyAlignment="true">
      <alignment horizontal="center" vertical="center"/>
    </xf>
    <xf numFmtId="0" fontId="6" fillId="0" borderId="1" xfId="0" applyNumberFormat="true" applyFont="true" applyBorder="true" applyAlignment="true">
      <alignment horizontal="center" vertical="center"/>
    </xf>
    <xf numFmtId="0" fontId="0" fillId="0" borderId="0" xfId="0" applyNumberFormat="true" applyAlignment="true"/>
    <xf numFmtId="0" fontId="7" fillId="5" borderId="5" xfId="0" applyNumberFormat="true" applyFont="true" applyFill="true" applyBorder="true" applyAlignment="true">
      <alignment horizontal="center" vertical="center"/>
    </xf>
    <xf numFmtId="43" fontId="2" fillId="3" borderId="3" xfId="0" applyNumberFormat="true" applyFont="true" applyFill="true" applyBorder="true" applyAlignment="true">
      <alignment horizontal="center" vertical="center"/>
    </xf>
    <xf numFmtId="0" fontId="2" fillId="3" borderId="3" xfId="0" applyNumberFormat="true" applyFont="true" applyFill="true" applyBorder="true" applyAlignment="true">
      <alignment horizontal="center" vertical="center"/>
    </xf>
    <xf numFmtId="177" fontId="13" fillId="0" borderId="0" xfId="0" applyNumberFormat="true" applyFont="true" applyAlignment="true">
      <alignment horizontal="right" vertical="center"/>
    </xf>
    <xf numFmtId="177" fontId="6" fillId="0" borderId="1" xfId="0" applyNumberFormat="true" applyFont="true" applyBorder="true" applyAlignment="true">
      <alignment horizontal="center" vertical="center" wrapText="true"/>
    </xf>
    <xf numFmtId="43" fontId="3" fillId="0" borderId="6" xfId="0" applyNumberFormat="true" applyFont="true" applyBorder="true" applyAlignment="true">
      <alignment horizontal="center" vertical="center" wrapText="true"/>
    </xf>
    <xf numFmtId="177" fontId="2" fillId="0" borderId="0" xfId="0" applyNumberFormat="true" applyFont="true" applyAlignment="true">
      <alignment horizontal="center" vertical="center"/>
    </xf>
    <xf numFmtId="0" fontId="7" fillId="0" borderId="0" xfId="0" applyNumberFormat="true" applyFont="true" applyAlignment="true">
      <alignment horizontal="center" vertical="center" wrapText="true"/>
    </xf>
    <xf numFmtId="0" fontId="7" fillId="3" borderId="3" xfId="0" applyNumberFormat="true" applyFont="true" applyFill="true" applyBorder="true" applyAlignment="true">
      <alignment horizontal="center" vertical="center" wrapText="true"/>
    </xf>
    <xf numFmtId="0" fontId="7" fillId="4" borderId="7" xfId="0" applyNumberFormat="true" applyFont="true" applyFill="true" applyBorder="true" applyAlignment="true">
      <alignment horizontal="center" vertical="center"/>
    </xf>
    <xf numFmtId="9" fontId="2" fillId="3" borderId="3" xfId="0" applyNumberFormat="true" applyFont="true" applyFill="true" applyBorder="true" applyAlignment="true">
      <alignment horizontal="center" vertical="center"/>
    </xf>
    <xf numFmtId="177" fontId="2" fillId="3" borderId="3" xfId="0" applyNumberFormat="true" applyFont="true" applyFill="true" applyBorder="true" applyAlignment="true">
      <alignment horizontal="center" vertical="center"/>
    </xf>
    <xf numFmtId="43" fontId="2" fillId="4" borderId="7" xfId="0" applyNumberFormat="true" applyFont="true" applyFill="true" applyBorder="true" applyAlignment="true">
      <alignment horizontal="center" vertical="center"/>
    </xf>
    <xf numFmtId="0" fontId="2" fillId="4" borderId="7" xfId="0" applyNumberFormat="true" applyFont="true" applyFill="true" applyBorder="true" applyAlignment="true">
      <alignment horizontal="center" vertical="center"/>
    </xf>
    <xf numFmtId="0" fontId="7" fillId="4" borderId="7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N213"/>
  <sheetViews>
    <sheetView workbookViewId="0">
      <selection activeCell="A1" sqref="A1:I1"/>
    </sheetView>
  </sheetViews>
  <sheetFormatPr defaultColWidth="9" defaultRowHeight="13.5"/>
  <cols>
    <col min="1" max="1" width="5.81666666666667" customWidth="true"/>
    <col min="2" max="2" width="10.5416666666667" customWidth="true"/>
    <col min="3" max="3" width="39.5416666666667" customWidth="true"/>
    <col min="4" max="4" width="30.1833333333333" customWidth="true"/>
    <col min="5" max="11" width="9.54166666666667" customWidth="true"/>
    <col min="12" max="12" width="10.5416666666667" customWidth="true"/>
    <col min="13" max="13" width="15.5416666666667" customWidth="true"/>
    <col min="14" max="14" width="10.5416666666667" customWidth="true"/>
  </cols>
  <sheetData>
    <row r="1" ht="19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69"/>
      <c r="K1" s="69"/>
      <c r="L1" s="69"/>
      <c r="M1" s="69"/>
      <c r="N1" s="69"/>
    </row>
    <row r="2" ht="14.25" spans="1:14">
      <c r="A2" s="2"/>
      <c r="B2" s="2"/>
      <c r="C2" s="2"/>
      <c r="D2" s="3"/>
      <c r="E2" s="6"/>
      <c r="F2" s="2"/>
      <c r="G2" s="7"/>
      <c r="H2" s="8"/>
      <c r="I2" s="73" t="s">
        <v>1</v>
      </c>
      <c r="J2" s="69"/>
      <c r="K2" s="69"/>
      <c r="L2" s="69"/>
      <c r="M2" s="69"/>
      <c r="N2" s="69"/>
    </row>
    <row r="3" ht="25.5" spans="1:14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  <c r="F3" s="10" t="s">
        <v>7</v>
      </c>
      <c r="G3" s="9" t="s">
        <v>8</v>
      </c>
      <c r="H3" s="11" t="s">
        <v>9</v>
      </c>
      <c r="I3" s="74" t="s">
        <v>10</v>
      </c>
      <c r="J3" s="75" t="s">
        <v>11</v>
      </c>
      <c r="K3" s="75" t="s">
        <v>12</v>
      </c>
      <c r="L3" s="69"/>
      <c r="M3" s="69"/>
      <c r="N3" s="69"/>
    </row>
    <row r="4" ht="14.25" spans="1:14">
      <c r="A4" s="69"/>
      <c r="B4" s="15" t="s">
        <v>13</v>
      </c>
      <c r="C4" s="15" t="s">
        <v>14</v>
      </c>
      <c r="D4" s="15" t="s">
        <v>15</v>
      </c>
      <c r="E4" s="7">
        <f>(345600-0)/216*9</f>
        <v>14400</v>
      </c>
      <c r="F4" s="2">
        <v>2</v>
      </c>
      <c r="G4" s="7">
        <f t="shared" ref="G4:G67" si="0">E4*F4</f>
        <v>28800</v>
      </c>
      <c r="H4" s="8">
        <v>0.5</v>
      </c>
      <c r="I4" s="76">
        <f t="shared" ref="I4:I67" si="1">ROUNDDOWN(G4*H4,-2)</f>
        <v>14400</v>
      </c>
      <c r="J4" s="15">
        <v>1</v>
      </c>
      <c r="K4" s="15">
        <v>1</v>
      </c>
      <c r="L4" s="69"/>
      <c r="M4" s="69"/>
      <c r="N4" s="69"/>
    </row>
    <row r="5" ht="14.25" spans="1:14">
      <c r="A5" s="69"/>
      <c r="B5" s="15" t="s">
        <v>16</v>
      </c>
      <c r="C5" s="15" t="s">
        <v>17</v>
      </c>
      <c r="D5" s="15" t="s">
        <v>15</v>
      </c>
      <c r="E5" s="7">
        <f>(75200-0)/8</f>
        <v>9400</v>
      </c>
      <c r="F5" s="2">
        <v>2</v>
      </c>
      <c r="G5" s="7">
        <f t="shared" si="0"/>
        <v>18800</v>
      </c>
      <c r="H5" s="8">
        <v>0.5</v>
      </c>
      <c r="I5" s="76">
        <f t="shared" si="1"/>
        <v>9400</v>
      </c>
      <c r="J5" s="15">
        <v>2</v>
      </c>
      <c r="K5" s="15">
        <v>14</v>
      </c>
      <c r="L5" s="69"/>
      <c r="M5" s="69"/>
      <c r="N5" s="69"/>
    </row>
    <row r="6" ht="14.25" spans="1:14">
      <c r="A6" s="69"/>
      <c r="B6" s="15" t="s">
        <v>18</v>
      </c>
      <c r="C6" s="15" t="s">
        <v>19</v>
      </c>
      <c r="D6" s="15" t="s">
        <v>20</v>
      </c>
      <c r="E6" s="7">
        <f>12000+(12000*6%)</f>
        <v>12720</v>
      </c>
      <c r="F6" s="2">
        <v>2</v>
      </c>
      <c r="G6" s="7">
        <f t="shared" si="0"/>
        <v>25440</v>
      </c>
      <c r="H6" s="8">
        <v>0.5</v>
      </c>
      <c r="I6" s="76">
        <f t="shared" si="1"/>
        <v>12700</v>
      </c>
      <c r="J6" s="15">
        <v>3</v>
      </c>
      <c r="K6" s="15">
        <v>10</v>
      </c>
      <c r="L6" s="69"/>
      <c r="M6" s="69"/>
      <c r="N6" s="69"/>
    </row>
    <row r="7" ht="14.25" spans="1:14">
      <c r="A7" s="69"/>
      <c r="B7" s="15" t="s">
        <v>21</v>
      </c>
      <c r="C7" s="15" t="s">
        <v>22</v>
      </c>
      <c r="D7" s="15" t="s">
        <v>15</v>
      </c>
      <c r="E7" s="7">
        <f>(115200-0)/72*9</f>
        <v>14400</v>
      </c>
      <c r="F7" s="2">
        <v>2</v>
      </c>
      <c r="G7" s="7">
        <f t="shared" si="0"/>
        <v>28800</v>
      </c>
      <c r="H7" s="8">
        <v>0.5</v>
      </c>
      <c r="I7" s="76">
        <f t="shared" si="1"/>
        <v>14400</v>
      </c>
      <c r="J7" s="15">
        <v>4</v>
      </c>
      <c r="K7" s="15">
        <v>11</v>
      </c>
      <c r="L7" s="69"/>
      <c r="M7" s="69"/>
      <c r="N7" s="69"/>
    </row>
    <row r="8" ht="14.25" spans="1:14">
      <c r="A8" s="69"/>
      <c r="B8" s="15" t="s">
        <v>23</v>
      </c>
      <c r="C8" s="15" t="s">
        <v>24</v>
      </c>
      <c r="D8" s="15" t="s">
        <v>20</v>
      </c>
      <c r="E8" s="7">
        <f>2200*9*1.06</f>
        <v>20988</v>
      </c>
      <c r="F8" s="2">
        <v>2</v>
      </c>
      <c r="G8" s="7">
        <f t="shared" si="0"/>
        <v>41976</v>
      </c>
      <c r="H8" s="8">
        <v>0.5</v>
      </c>
      <c r="I8" s="76">
        <f t="shared" si="1"/>
        <v>20900</v>
      </c>
      <c r="J8" s="15">
        <v>5</v>
      </c>
      <c r="K8" s="15">
        <v>9</v>
      </c>
      <c r="L8" s="69"/>
      <c r="M8" s="69"/>
      <c r="N8" s="69"/>
    </row>
    <row r="9" ht="14.25" spans="1:14">
      <c r="A9" s="69"/>
      <c r="B9" s="15" t="s">
        <v>25</v>
      </c>
      <c r="C9" s="15" t="s">
        <v>26</v>
      </c>
      <c r="D9" s="15" t="s">
        <v>20</v>
      </c>
      <c r="E9" s="7">
        <f>12000+(12000*6%)</f>
        <v>12720</v>
      </c>
      <c r="F9" s="2">
        <v>2</v>
      </c>
      <c r="G9" s="7">
        <f t="shared" si="0"/>
        <v>25440</v>
      </c>
      <c r="H9" s="8">
        <v>0.5</v>
      </c>
      <c r="I9" s="76">
        <f t="shared" si="1"/>
        <v>12700</v>
      </c>
      <c r="J9" s="15">
        <v>6</v>
      </c>
      <c r="K9" s="15">
        <v>15</v>
      </c>
      <c r="L9" s="69"/>
      <c r="M9" s="69"/>
      <c r="N9" s="69"/>
    </row>
    <row r="10" ht="14.25" spans="1:14">
      <c r="A10" s="15"/>
      <c r="B10" s="15" t="s">
        <v>18</v>
      </c>
      <c r="C10" s="15" t="s">
        <v>27</v>
      </c>
      <c r="D10" s="15" t="s">
        <v>15</v>
      </c>
      <c r="E10" s="7">
        <f>(141000-0)/15</f>
        <v>9400</v>
      </c>
      <c r="F10" s="2">
        <v>2</v>
      </c>
      <c r="G10" s="7">
        <f t="shared" si="0"/>
        <v>18800</v>
      </c>
      <c r="H10" s="8">
        <v>0.5</v>
      </c>
      <c r="I10" s="76">
        <f t="shared" si="1"/>
        <v>9400</v>
      </c>
      <c r="J10" s="15">
        <v>7</v>
      </c>
      <c r="K10" s="15">
        <v>10</v>
      </c>
      <c r="L10" s="15"/>
      <c r="M10" s="15"/>
      <c r="N10" s="15"/>
    </row>
    <row r="11" ht="14.25" spans="1:14">
      <c r="A11" s="15"/>
      <c r="B11" s="15" t="s">
        <v>28</v>
      </c>
      <c r="C11" s="15" t="s">
        <v>29</v>
      </c>
      <c r="D11" s="15" t="s">
        <v>30</v>
      </c>
      <c r="E11" s="7">
        <v>16800</v>
      </c>
      <c r="F11" s="2">
        <v>2</v>
      </c>
      <c r="G11" s="7">
        <f t="shared" si="0"/>
        <v>33600</v>
      </c>
      <c r="H11" s="8">
        <v>0.7</v>
      </c>
      <c r="I11" s="76">
        <f t="shared" si="1"/>
        <v>23500</v>
      </c>
      <c r="J11" s="15">
        <v>8</v>
      </c>
      <c r="K11" s="15">
        <v>12</v>
      </c>
      <c r="L11" s="15"/>
      <c r="M11" s="77"/>
      <c r="N11" s="15"/>
    </row>
    <row r="12" ht="14.25" spans="1:14">
      <c r="A12" s="69"/>
      <c r="B12" s="15" t="s">
        <v>28</v>
      </c>
      <c r="C12" s="15" t="s">
        <v>31</v>
      </c>
      <c r="D12" s="15" t="s">
        <v>15</v>
      </c>
      <c r="E12" s="7">
        <f>(833686-0)/100</f>
        <v>8336.86</v>
      </c>
      <c r="F12" s="2">
        <v>2</v>
      </c>
      <c r="G12" s="7">
        <f t="shared" si="0"/>
        <v>16673.72</v>
      </c>
      <c r="H12" s="8">
        <v>0.7</v>
      </c>
      <c r="I12" s="76">
        <f t="shared" si="1"/>
        <v>11600</v>
      </c>
      <c r="J12" s="15">
        <v>9</v>
      </c>
      <c r="K12" s="15">
        <v>12</v>
      </c>
      <c r="L12" s="69"/>
      <c r="M12" s="69"/>
      <c r="N12" s="69"/>
    </row>
    <row r="13" ht="14.25" spans="1:14">
      <c r="A13" s="69"/>
      <c r="B13" s="15" t="s">
        <v>13</v>
      </c>
      <c r="C13" s="15" t="s">
        <v>32</v>
      </c>
      <c r="D13" s="15" t="s">
        <v>20</v>
      </c>
      <c r="E13" s="7">
        <f>12000+(12000*6%)</f>
        <v>12720</v>
      </c>
      <c r="F13" s="2">
        <v>2</v>
      </c>
      <c r="G13" s="7">
        <f t="shared" si="0"/>
        <v>25440</v>
      </c>
      <c r="H13" s="8">
        <v>0.5</v>
      </c>
      <c r="I13" s="76">
        <f t="shared" si="1"/>
        <v>12700</v>
      </c>
      <c r="J13" s="15">
        <v>10</v>
      </c>
      <c r="K13" s="15">
        <v>1</v>
      </c>
      <c r="L13" s="69"/>
      <c r="M13" s="69"/>
      <c r="N13" s="69"/>
    </row>
    <row r="14" ht="14.25" spans="1:14">
      <c r="A14" s="69"/>
      <c r="B14" s="15" t="s">
        <v>13</v>
      </c>
      <c r="C14" s="15" t="s">
        <v>33</v>
      </c>
      <c r="D14" s="15" t="s">
        <v>20</v>
      </c>
      <c r="E14" s="7">
        <f>12000+(12000*6%)</f>
        <v>12720</v>
      </c>
      <c r="F14" s="2">
        <v>1</v>
      </c>
      <c r="G14" s="7">
        <f t="shared" si="0"/>
        <v>12720</v>
      </c>
      <c r="H14" s="8">
        <v>0.5</v>
      </c>
      <c r="I14" s="76">
        <f t="shared" si="1"/>
        <v>6300</v>
      </c>
      <c r="J14" s="15">
        <v>11</v>
      </c>
      <c r="K14" s="15">
        <v>1</v>
      </c>
      <c r="L14" s="69"/>
      <c r="M14" s="69"/>
      <c r="N14" s="69"/>
    </row>
    <row r="15" ht="14.25" spans="1:14">
      <c r="A15" s="69"/>
      <c r="B15" s="15" t="s">
        <v>13</v>
      </c>
      <c r="C15" s="15" t="s">
        <v>34</v>
      </c>
      <c r="D15" s="15" t="s">
        <v>20</v>
      </c>
      <c r="E15" s="7">
        <f>2200*9*1.06</f>
        <v>20988</v>
      </c>
      <c r="F15" s="2">
        <v>2</v>
      </c>
      <c r="G15" s="7">
        <f t="shared" si="0"/>
        <v>41976</v>
      </c>
      <c r="H15" s="8">
        <v>0.5</v>
      </c>
      <c r="I15" s="76">
        <f t="shared" si="1"/>
        <v>20900</v>
      </c>
      <c r="J15" s="15">
        <v>12</v>
      </c>
      <c r="K15" s="15">
        <v>1</v>
      </c>
      <c r="L15" s="69"/>
      <c r="M15" s="69"/>
      <c r="N15" s="69"/>
    </row>
    <row r="16" ht="14.25" spans="1:14">
      <c r="A16" s="69"/>
      <c r="B16" s="15" t="s">
        <v>23</v>
      </c>
      <c r="C16" s="15" t="s">
        <v>35</v>
      </c>
      <c r="D16" s="15" t="s">
        <v>15</v>
      </c>
      <c r="E16" s="7">
        <f>62400/6</f>
        <v>10400</v>
      </c>
      <c r="F16" s="2">
        <v>2</v>
      </c>
      <c r="G16" s="7">
        <f t="shared" si="0"/>
        <v>20800</v>
      </c>
      <c r="H16" s="8">
        <v>0.5</v>
      </c>
      <c r="I16" s="76">
        <f t="shared" si="1"/>
        <v>10400</v>
      </c>
      <c r="J16" s="15">
        <v>13</v>
      </c>
      <c r="K16" s="15">
        <v>9</v>
      </c>
      <c r="L16" s="69"/>
      <c r="M16" s="69"/>
      <c r="N16" s="69"/>
    </row>
    <row r="17" ht="14.25" spans="1:14">
      <c r="A17" s="69"/>
      <c r="B17" s="15" t="s">
        <v>23</v>
      </c>
      <c r="C17" s="15" t="s">
        <v>36</v>
      </c>
      <c r="D17" s="15" t="s">
        <v>15</v>
      </c>
      <c r="E17" s="7">
        <f>10400</f>
        <v>10400</v>
      </c>
      <c r="F17" s="2">
        <v>2</v>
      </c>
      <c r="G17" s="7">
        <f t="shared" si="0"/>
        <v>20800</v>
      </c>
      <c r="H17" s="8">
        <v>0.5</v>
      </c>
      <c r="I17" s="76">
        <f t="shared" si="1"/>
        <v>10400</v>
      </c>
      <c r="J17" s="15">
        <v>14</v>
      </c>
      <c r="K17" s="15">
        <v>9</v>
      </c>
      <c r="L17" s="69"/>
      <c r="M17" s="69"/>
      <c r="N17" s="69"/>
    </row>
    <row r="18" ht="14.25" spans="1:14">
      <c r="A18" s="69"/>
      <c r="B18" s="15" t="s">
        <v>25</v>
      </c>
      <c r="C18" s="15" t="s">
        <v>37</v>
      </c>
      <c r="D18" s="15" t="s">
        <v>15</v>
      </c>
      <c r="E18" s="7">
        <f>(345600)/216*9</f>
        <v>14400</v>
      </c>
      <c r="F18" s="2">
        <v>2</v>
      </c>
      <c r="G18" s="7">
        <f t="shared" si="0"/>
        <v>28800</v>
      </c>
      <c r="H18" s="8">
        <v>0.5</v>
      </c>
      <c r="I18" s="76">
        <f t="shared" si="1"/>
        <v>14400</v>
      </c>
      <c r="J18" s="15">
        <v>15</v>
      </c>
      <c r="K18" s="15">
        <v>15</v>
      </c>
      <c r="L18" s="15" t="s">
        <v>38</v>
      </c>
      <c r="M18" s="69"/>
      <c r="N18" s="69"/>
    </row>
    <row r="19" ht="14.25" spans="1:14">
      <c r="A19" s="69"/>
      <c r="B19" s="15" t="s">
        <v>21</v>
      </c>
      <c r="C19" s="15" t="s">
        <v>39</v>
      </c>
      <c r="D19" s="15" t="s">
        <v>15</v>
      </c>
      <c r="E19" s="7">
        <f>(56400-0)/6</f>
        <v>9400</v>
      </c>
      <c r="F19" s="2">
        <v>2</v>
      </c>
      <c r="G19" s="7">
        <f t="shared" si="0"/>
        <v>18800</v>
      </c>
      <c r="H19" s="8">
        <v>0.5</v>
      </c>
      <c r="I19" s="76">
        <f t="shared" si="1"/>
        <v>9400</v>
      </c>
      <c r="J19" s="15">
        <v>16</v>
      </c>
      <c r="K19" s="15">
        <v>11</v>
      </c>
      <c r="L19" s="69"/>
      <c r="M19" s="69"/>
      <c r="N19" s="69"/>
    </row>
    <row r="20" ht="14.25" spans="1:14">
      <c r="A20" s="69"/>
      <c r="B20" s="15" t="s">
        <v>28</v>
      </c>
      <c r="C20" s="15" t="s">
        <v>40</v>
      </c>
      <c r="D20" s="15" t="s">
        <v>15</v>
      </c>
      <c r="E20" s="7">
        <f>(56400)/6</f>
        <v>9400</v>
      </c>
      <c r="F20" s="2">
        <v>2</v>
      </c>
      <c r="G20" s="7">
        <f t="shared" si="0"/>
        <v>18800</v>
      </c>
      <c r="H20" s="8">
        <v>0.5</v>
      </c>
      <c r="I20" s="76">
        <f t="shared" si="1"/>
        <v>9400</v>
      </c>
      <c r="J20" s="15">
        <v>17</v>
      </c>
      <c r="K20" s="15">
        <v>12</v>
      </c>
      <c r="L20" s="69"/>
      <c r="M20" s="69"/>
      <c r="N20" s="69"/>
    </row>
    <row r="21" ht="14.25" spans="1:14">
      <c r="A21" s="36"/>
      <c r="B21" s="36" t="s">
        <v>28</v>
      </c>
      <c r="C21" s="36" t="s">
        <v>41</v>
      </c>
      <c r="D21" s="36" t="s">
        <v>15</v>
      </c>
      <c r="E21" s="71">
        <v>9400</v>
      </c>
      <c r="F21" s="72">
        <v>2</v>
      </c>
      <c r="G21" s="71">
        <f t="shared" si="0"/>
        <v>18800</v>
      </c>
      <c r="H21" s="8">
        <v>0.5</v>
      </c>
      <c r="I21" s="76">
        <f t="shared" si="1"/>
        <v>9400</v>
      </c>
      <c r="J21" s="36">
        <v>18</v>
      </c>
      <c r="K21" s="36">
        <v>12</v>
      </c>
      <c r="L21" s="36" t="s">
        <v>42</v>
      </c>
      <c r="M21" s="36"/>
      <c r="N21" s="36"/>
    </row>
    <row r="22" ht="14.25" spans="1:14">
      <c r="A22" s="69"/>
      <c r="B22" s="15" t="s">
        <v>28</v>
      </c>
      <c r="C22" s="15" t="s">
        <v>43</v>
      </c>
      <c r="D22" s="15" t="s">
        <v>44</v>
      </c>
      <c r="E22" s="7">
        <f>47999.88/36*9</f>
        <v>11999.97</v>
      </c>
      <c r="F22" s="2">
        <v>2</v>
      </c>
      <c r="G22" s="7">
        <f t="shared" si="0"/>
        <v>23999.94</v>
      </c>
      <c r="H22" s="8">
        <v>0.5</v>
      </c>
      <c r="I22" s="76">
        <f t="shared" si="1"/>
        <v>11900</v>
      </c>
      <c r="J22" s="15">
        <v>19</v>
      </c>
      <c r="K22" s="15">
        <v>12</v>
      </c>
      <c r="L22" s="69"/>
      <c r="M22" s="69"/>
      <c r="N22" s="69"/>
    </row>
    <row r="23" ht="14.25" spans="1:14">
      <c r="A23" s="69"/>
      <c r="B23" s="15" t="s">
        <v>28</v>
      </c>
      <c r="C23" s="15" t="s">
        <v>45</v>
      </c>
      <c r="D23" s="15" t="s">
        <v>44</v>
      </c>
      <c r="E23" s="7">
        <f>1333.33*9</f>
        <v>11999.97</v>
      </c>
      <c r="F23" s="2">
        <v>2</v>
      </c>
      <c r="G23" s="7">
        <f t="shared" si="0"/>
        <v>23999.94</v>
      </c>
      <c r="H23" s="8">
        <v>0.5</v>
      </c>
      <c r="I23" s="76">
        <f t="shared" si="1"/>
        <v>11900</v>
      </c>
      <c r="J23" s="15">
        <v>20</v>
      </c>
      <c r="K23" s="15">
        <v>12</v>
      </c>
      <c r="L23" s="69"/>
      <c r="M23" s="69"/>
      <c r="N23" s="69"/>
    </row>
    <row r="24" ht="14.25" spans="1:14">
      <c r="A24" s="69"/>
      <c r="B24" s="15" t="s">
        <v>28</v>
      </c>
      <c r="C24" s="15" t="s">
        <v>46</v>
      </c>
      <c r="D24" s="15" t="s">
        <v>44</v>
      </c>
      <c r="E24" s="7">
        <f>1333.33*9</f>
        <v>11999.97</v>
      </c>
      <c r="F24" s="2">
        <v>2</v>
      </c>
      <c r="G24" s="7">
        <f t="shared" si="0"/>
        <v>23999.94</v>
      </c>
      <c r="H24" s="8">
        <v>0.5</v>
      </c>
      <c r="I24" s="76">
        <f t="shared" si="1"/>
        <v>11900</v>
      </c>
      <c r="J24" s="15">
        <v>21</v>
      </c>
      <c r="K24" s="15">
        <v>12</v>
      </c>
      <c r="L24" s="69"/>
      <c r="M24" s="69"/>
      <c r="N24" s="69"/>
    </row>
    <row r="25" ht="14.25" spans="1:14">
      <c r="A25" s="69"/>
      <c r="B25" s="15" t="s">
        <v>28</v>
      </c>
      <c r="C25" s="15" t="s">
        <v>47</v>
      </c>
      <c r="D25" s="15" t="s">
        <v>44</v>
      </c>
      <c r="E25" s="7">
        <f>1333.33*9</f>
        <v>11999.97</v>
      </c>
      <c r="F25" s="2">
        <v>2</v>
      </c>
      <c r="G25" s="7">
        <f t="shared" si="0"/>
        <v>23999.94</v>
      </c>
      <c r="H25" s="8">
        <v>0.5</v>
      </c>
      <c r="I25" s="76">
        <f t="shared" si="1"/>
        <v>11900</v>
      </c>
      <c r="J25" s="15">
        <v>22</v>
      </c>
      <c r="K25" s="15">
        <v>12</v>
      </c>
      <c r="L25" s="69"/>
      <c r="M25" s="69"/>
      <c r="N25" s="69"/>
    </row>
    <row r="26" ht="14.25" spans="1:14">
      <c r="A26" s="69"/>
      <c r="B26" s="15" t="s">
        <v>28</v>
      </c>
      <c r="C26" s="15" t="s">
        <v>48</v>
      </c>
      <c r="D26" s="15" t="s">
        <v>44</v>
      </c>
      <c r="E26" s="7">
        <f>96600/56*9</f>
        <v>15525</v>
      </c>
      <c r="F26" s="2">
        <v>2</v>
      </c>
      <c r="G26" s="7">
        <f t="shared" si="0"/>
        <v>31050</v>
      </c>
      <c r="H26" s="8">
        <v>0.5</v>
      </c>
      <c r="I26" s="76">
        <f t="shared" si="1"/>
        <v>15500</v>
      </c>
      <c r="J26" s="15">
        <v>23</v>
      </c>
      <c r="K26" s="15">
        <v>12</v>
      </c>
      <c r="L26" s="69"/>
      <c r="M26" s="69"/>
      <c r="N26" s="69"/>
    </row>
    <row r="27" ht="14.25" spans="1:14">
      <c r="A27" s="69"/>
      <c r="B27" s="15" t="s">
        <v>28</v>
      </c>
      <c r="C27" s="15" t="s">
        <v>49</v>
      </c>
      <c r="D27" s="15" t="s">
        <v>44</v>
      </c>
      <c r="E27" s="7">
        <f>31999.92/24*9</f>
        <v>11999.97</v>
      </c>
      <c r="F27" s="2">
        <v>2</v>
      </c>
      <c r="G27" s="7">
        <f t="shared" si="0"/>
        <v>23999.94</v>
      </c>
      <c r="H27" s="8">
        <v>0.5</v>
      </c>
      <c r="I27" s="76">
        <f t="shared" si="1"/>
        <v>11900</v>
      </c>
      <c r="J27" s="15">
        <v>24</v>
      </c>
      <c r="K27" s="15">
        <v>12</v>
      </c>
      <c r="L27" s="69"/>
      <c r="M27" s="69"/>
      <c r="N27" s="69"/>
    </row>
    <row r="28" ht="14.25" spans="1:14">
      <c r="A28" s="69"/>
      <c r="B28" s="15" t="s">
        <v>18</v>
      </c>
      <c r="C28" s="15" t="s">
        <v>50</v>
      </c>
      <c r="D28" s="15" t="s">
        <v>20</v>
      </c>
      <c r="E28" s="7">
        <f>12000+(12000*6%)</f>
        <v>12720</v>
      </c>
      <c r="F28" s="2">
        <v>2</v>
      </c>
      <c r="G28" s="7">
        <f t="shared" si="0"/>
        <v>25440</v>
      </c>
      <c r="H28" s="8">
        <v>0.5</v>
      </c>
      <c r="I28" s="76">
        <f t="shared" si="1"/>
        <v>12700</v>
      </c>
      <c r="J28" s="15">
        <v>25</v>
      </c>
      <c r="K28" s="15">
        <v>10</v>
      </c>
      <c r="L28" s="69"/>
      <c r="M28" s="69"/>
      <c r="N28" s="69"/>
    </row>
    <row r="29" ht="14.25" spans="1:14">
      <c r="A29" s="69"/>
      <c r="B29" s="15" t="s">
        <v>51</v>
      </c>
      <c r="C29" s="15" t="s">
        <v>52</v>
      </c>
      <c r="D29" s="15" t="s">
        <v>20</v>
      </c>
      <c r="E29" s="7">
        <f>83952/36*9</f>
        <v>20988</v>
      </c>
      <c r="F29" s="2">
        <v>2</v>
      </c>
      <c r="G29" s="7">
        <f t="shared" si="0"/>
        <v>41976</v>
      </c>
      <c r="H29" s="8">
        <v>0.5</v>
      </c>
      <c r="I29" s="76">
        <f t="shared" si="1"/>
        <v>20900</v>
      </c>
      <c r="J29" s="15">
        <v>26</v>
      </c>
      <c r="K29" s="15">
        <v>3</v>
      </c>
      <c r="L29" s="69"/>
      <c r="M29" s="69"/>
      <c r="N29" s="69"/>
    </row>
    <row r="30" ht="14.25" spans="1:14">
      <c r="A30" s="69"/>
      <c r="B30" s="15" t="s">
        <v>13</v>
      </c>
      <c r="C30" s="15" t="s">
        <v>53</v>
      </c>
      <c r="D30" s="15" t="s">
        <v>20</v>
      </c>
      <c r="E30" s="7">
        <f>12000+(12000*6%)</f>
        <v>12720</v>
      </c>
      <c r="F30" s="2">
        <v>2</v>
      </c>
      <c r="G30" s="7">
        <f t="shared" si="0"/>
        <v>25440</v>
      </c>
      <c r="H30" s="8">
        <v>0.5</v>
      </c>
      <c r="I30" s="76">
        <f t="shared" si="1"/>
        <v>12700</v>
      </c>
      <c r="J30" s="15">
        <v>27</v>
      </c>
      <c r="K30" s="15">
        <v>1</v>
      </c>
      <c r="L30" s="69"/>
      <c r="M30" s="69"/>
      <c r="N30" s="69"/>
    </row>
    <row r="31" ht="14.25" spans="1:14">
      <c r="A31" s="69"/>
      <c r="B31" s="15" t="s">
        <v>23</v>
      </c>
      <c r="C31" s="15" t="s">
        <v>54</v>
      </c>
      <c r="D31" s="15" t="s">
        <v>15</v>
      </c>
      <c r="E31" s="7">
        <f>(51000)/6</f>
        <v>8500</v>
      </c>
      <c r="F31" s="2">
        <v>2</v>
      </c>
      <c r="G31" s="7">
        <f t="shared" si="0"/>
        <v>17000</v>
      </c>
      <c r="H31" s="8">
        <v>0.5</v>
      </c>
      <c r="I31" s="76">
        <f t="shared" si="1"/>
        <v>8500</v>
      </c>
      <c r="J31" s="15">
        <v>28</v>
      </c>
      <c r="K31" s="15">
        <v>9</v>
      </c>
      <c r="L31" s="69"/>
      <c r="M31" s="69"/>
      <c r="N31" s="69"/>
    </row>
    <row r="32" ht="14.25" spans="1:14">
      <c r="A32" s="69"/>
      <c r="B32" s="15" t="s">
        <v>13</v>
      </c>
      <c r="C32" s="15" t="s">
        <v>55</v>
      </c>
      <c r="D32" s="15" t="s">
        <v>20</v>
      </c>
      <c r="E32" s="7">
        <f>15000+(15000*6%)</f>
        <v>15900</v>
      </c>
      <c r="F32" s="2">
        <v>1</v>
      </c>
      <c r="G32" s="7">
        <f t="shared" si="0"/>
        <v>15900</v>
      </c>
      <c r="H32" s="8">
        <v>0.5</v>
      </c>
      <c r="I32" s="76">
        <f t="shared" si="1"/>
        <v>7900</v>
      </c>
      <c r="J32" s="15">
        <v>29</v>
      </c>
      <c r="K32" s="15">
        <v>1</v>
      </c>
      <c r="L32" s="69"/>
      <c r="M32" s="69"/>
      <c r="N32" s="69"/>
    </row>
    <row r="33" ht="14.25" spans="1:14">
      <c r="A33" s="69"/>
      <c r="B33" s="15" t="s">
        <v>13</v>
      </c>
      <c r="C33" s="15" t="s">
        <v>56</v>
      </c>
      <c r="D33" s="70" t="s">
        <v>30</v>
      </c>
      <c r="E33" s="7">
        <f>16800</f>
        <v>16800</v>
      </c>
      <c r="F33" s="2">
        <v>1</v>
      </c>
      <c r="G33" s="7">
        <f t="shared" si="0"/>
        <v>16800</v>
      </c>
      <c r="H33" s="8">
        <v>0.5</v>
      </c>
      <c r="I33" s="76">
        <f t="shared" si="1"/>
        <v>8400</v>
      </c>
      <c r="J33" s="15">
        <v>30</v>
      </c>
      <c r="K33" s="15">
        <v>1</v>
      </c>
      <c r="L33" s="69"/>
      <c r="M33" s="69"/>
      <c r="N33" s="69"/>
    </row>
    <row r="34" ht="14.25" spans="1:14">
      <c r="A34" s="69"/>
      <c r="B34" s="15" t="s">
        <v>13</v>
      </c>
      <c r="C34" s="15" t="s">
        <v>57</v>
      </c>
      <c r="D34" s="15" t="s">
        <v>58</v>
      </c>
      <c r="E34" s="7">
        <f>21420</f>
        <v>21420</v>
      </c>
      <c r="F34" s="2">
        <v>1</v>
      </c>
      <c r="G34" s="7">
        <f t="shared" si="0"/>
        <v>21420</v>
      </c>
      <c r="H34" s="8">
        <v>0.5</v>
      </c>
      <c r="I34" s="76">
        <f t="shared" si="1"/>
        <v>10700</v>
      </c>
      <c r="J34" s="15">
        <v>31</v>
      </c>
      <c r="K34" s="15">
        <v>1</v>
      </c>
      <c r="L34" s="69"/>
      <c r="M34" s="69"/>
      <c r="N34" s="69"/>
    </row>
    <row r="35" ht="14.25" spans="1:14">
      <c r="A35" s="69"/>
      <c r="B35" s="15" t="s">
        <v>59</v>
      </c>
      <c r="C35" s="15" t="s">
        <v>60</v>
      </c>
      <c r="D35" s="15" t="s">
        <v>58</v>
      </c>
      <c r="E35" s="7">
        <f>95200/40*9</f>
        <v>21420</v>
      </c>
      <c r="F35" s="2">
        <v>2</v>
      </c>
      <c r="G35" s="7">
        <f t="shared" si="0"/>
        <v>42840</v>
      </c>
      <c r="H35" s="8">
        <v>0.5</v>
      </c>
      <c r="I35" s="76">
        <f t="shared" si="1"/>
        <v>21400</v>
      </c>
      <c r="J35" s="15">
        <v>32</v>
      </c>
      <c r="K35" s="15">
        <v>5</v>
      </c>
      <c r="L35" s="69"/>
      <c r="M35" s="69"/>
      <c r="N35" s="69"/>
    </row>
    <row r="36" ht="14.25" spans="1:14">
      <c r="A36" s="15"/>
      <c r="B36" s="15" t="s">
        <v>61</v>
      </c>
      <c r="C36" s="15" t="s">
        <v>62</v>
      </c>
      <c r="D36" s="15" t="s">
        <v>58</v>
      </c>
      <c r="E36" s="7">
        <f>156240/63*9</f>
        <v>22320</v>
      </c>
      <c r="F36" s="2">
        <v>2</v>
      </c>
      <c r="G36" s="7">
        <f t="shared" si="0"/>
        <v>44640</v>
      </c>
      <c r="H36" s="8">
        <v>0.5</v>
      </c>
      <c r="I36" s="76">
        <f t="shared" si="1"/>
        <v>22300</v>
      </c>
      <c r="J36" s="15">
        <v>33</v>
      </c>
      <c r="K36" s="15">
        <v>6</v>
      </c>
      <c r="L36" s="15"/>
      <c r="M36" s="15"/>
      <c r="N36" s="15"/>
    </row>
    <row r="37" ht="14.25" spans="1:14">
      <c r="A37" s="69"/>
      <c r="B37" s="15" t="s">
        <v>18</v>
      </c>
      <c r="C37" s="15" t="s">
        <v>63</v>
      </c>
      <c r="D37" s="15" t="s">
        <v>58</v>
      </c>
      <c r="E37" s="7">
        <f>260000/84*9</f>
        <v>27857.1428571429</v>
      </c>
      <c r="F37" s="2">
        <v>2</v>
      </c>
      <c r="G37" s="7">
        <f t="shared" si="0"/>
        <v>55714.2857142857</v>
      </c>
      <c r="H37" s="8">
        <v>0.5</v>
      </c>
      <c r="I37" s="76">
        <f t="shared" si="1"/>
        <v>27800</v>
      </c>
      <c r="J37" s="15">
        <v>34</v>
      </c>
      <c r="K37" s="15">
        <v>10</v>
      </c>
      <c r="L37" s="69"/>
      <c r="M37" s="69"/>
      <c r="N37" s="69"/>
    </row>
    <row r="38" ht="14.25" spans="1:14">
      <c r="A38" s="69"/>
      <c r="B38" s="15" t="s">
        <v>64</v>
      </c>
      <c r="C38" s="15" t="s">
        <v>65</v>
      </c>
      <c r="D38" s="15" t="s">
        <v>58</v>
      </c>
      <c r="E38" s="7">
        <f>121500/45*9</f>
        <v>24300</v>
      </c>
      <c r="F38" s="2">
        <v>2</v>
      </c>
      <c r="G38" s="7">
        <f t="shared" si="0"/>
        <v>48600</v>
      </c>
      <c r="H38" s="8">
        <v>0.5</v>
      </c>
      <c r="I38" s="76">
        <f t="shared" si="1"/>
        <v>24300</v>
      </c>
      <c r="J38" s="15">
        <v>35</v>
      </c>
      <c r="K38" s="15">
        <v>2</v>
      </c>
      <c r="L38" s="69"/>
      <c r="M38" s="69"/>
      <c r="N38" s="69"/>
    </row>
    <row r="39" ht="14.25" spans="1:14">
      <c r="A39" s="69"/>
      <c r="B39" s="15" t="s">
        <v>28</v>
      </c>
      <c r="C39" s="15" t="s">
        <v>66</v>
      </c>
      <c r="D39" s="15" t="s">
        <v>58</v>
      </c>
      <c r="E39" s="7">
        <f>83700/30*9</f>
        <v>25110</v>
      </c>
      <c r="F39" s="2">
        <v>2</v>
      </c>
      <c r="G39" s="7">
        <f t="shared" si="0"/>
        <v>50220</v>
      </c>
      <c r="H39" s="8">
        <v>0.5</v>
      </c>
      <c r="I39" s="76">
        <f t="shared" si="1"/>
        <v>25100</v>
      </c>
      <c r="J39" s="15">
        <v>36</v>
      </c>
      <c r="K39" s="15">
        <v>12</v>
      </c>
      <c r="L39" s="69"/>
      <c r="M39" s="69"/>
      <c r="N39" s="69"/>
    </row>
    <row r="40" ht="14.25" spans="1:14">
      <c r="A40" s="69"/>
      <c r="B40" s="15" t="s">
        <v>67</v>
      </c>
      <c r="C40" s="15" t="s">
        <v>68</v>
      </c>
      <c r="D40" s="15" t="s">
        <v>58</v>
      </c>
      <c r="E40" s="7">
        <f>20700</f>
        <v>20700</v>
      </c>
      <c r="F40" s="2">
        <v>1</v>
      </c>
      <c r="G40" s="7">
        <f t="shared" si="0"/>
        <v>20700</v>
      </c>
      <c r="H40" s="8">
        <v>0.5</v>
      </c>
      <c r="I40" s="76">
        <f t="shared" si="1"/>
        <v>10300</v>
      </c>
      <c r="J40" s="15">
        <v>37</v>
      </c>
      <c r="K40" s="15">
        <v>13</v>
      </c>
      <c r="L40" s="69"/>
      <c r="M40" s="69"/>
      <c r="N40" s="69"/>
    </row>
    <row r="41" ht="14.25" spans="1:14">
      <c r="A41" s="69"/>
      <c r="B41" s="15" t="s">
        <v>13</v>
      </c>
      <c r="C41" s="15" t="s">
        <v>69</v>
      </c>
      <c r="D41" s="15" t="s">
        <v>58</v>
      </c>
      <c r="E41" s="7">
        <f>28350</f>
        <v>28350</v>
      </c>
      <c r="F41" s="2">
        <v>1</v>
      </c>
      <c r="G41" s="7">
        <f t="shared" si="0"/>
        <v>28350</v>
      </c>
      <c r="H41" s="8">
        <v>0.5</v>
      </c>
      <c r="I41" s="76">
        <f t="shared" si="1"/>
        <v>14100</v>
      </c>
      <c r="J41" s="15">
        <v>38</v>
      </c>
      <c r="K41" s="15">
        <v>1</v>
      </c>
      <c r="L41" s="69"/>
      <c r="M41" s="69"/>
      <c r="N41" s="69"/>
    </row>
    <row r="42" ht="14.25" spans="1:14">
      <c r="A42" s="69"/>
      <c r="B42" s="15" t="s">
        <v>13</v>
      </c>
      <c r="C42" s="15" t="s">
        <v>70</v>
      </c>
      <c r="D42" s="15" t="s">
        <v>58</v>
      </c>
      <c r="E42" s="7">
        <f>27000</f>
        <v>27000</v>
      </c>
      <c r="F42" s="2">
        <v>1</v>
      </c>
      <c r="G42" s="7">
        <f t="shared" si="0"/>
        <v>27000</v>
      </c>
      <c r="H42" s="8">
        <v>0.5</v>
      </c>
      <c r="I42" s="76">
        <f t="shared" si="1"/>
        <v>13500</v>
      </c>
      <c r="J42" s="15">
        <v>39</v>
      </c>
      <c r="K42" s="15">
        <v>1</v>
      </c>
      <c r="L42" s="69"/>
      <c r="M42" s="69"/>
      <c r="N42" s="69"/>
    </row>
    <row r="43" ht="14.25" spans="1:14">
      <c r="A43" s="69"/>
      <c r="B43" s="15" t="s">
        <v>13</v>
      </c>
      <c r="C43" s="15" t="s">
        <v>71</v>
      </c>
      <c r="D43" s="15" t="s">
        <v>58</v>
      </c>
      <c r="E43" s="7">
        <f>23000</f>
        <v>23000</v>
      </c>
      <c r="F43" s="2">
        <v>1</v>
      </c>
      <c r="G43" s="7">
        <f t="shared" si="0"/>
        <v>23000</v>
      </c>
      <c r="H43" s="8">
        <v>0.5</v>
      </c>
      <c r="I43" s="76">
        <f t="shared" si="1"/>
        <v>11500</v>
      </c>
      <c r="J43" s="15">
        <v>40</v>
      </c>
      <c r="K43" s="15">
        <v>1</v>
      </c>
      <c r="L43" s="69"/>
      <c r="M43" s="69"/>
      <c r="N43" s="69"/>
    </row>
    <row r="44" ht="14.25" spans="1:14">
      <c r="A44" s="69"/>
      <c r="B44" s="15" t="s">
        <v>23</v>
      </c>
      <c r="C44" s="15" t="s">
        <v>72</v>
      </c>
      <c r="D44" s="15" t="s">
        <v>58</v>
      </c>
      <c r="E44" s="7">
        <f>18900</f>
        <v>18900</v>
      </c>
      <c r="F44" s="2">
        <v>1</v>
      </c>
      <c r="G44" s="7">
        <f t="shared" si="0"/>
        <v>18900</v>
      </c>
      <c r="H44" s="8">
        <v>0.5</v>
      </c>
      <c r="I44" s="76">
        <f t="shared" si="1"/>
        <v>9400</v>
      </c>
      <c r="J44" s="15">
        <v>41</v>
      </c>
      <c r="K44" s="15">
        <v>9</v>
      </c>
      <c r="L44" s="69"/>
      <c r="M44" s="69"/>
      <c r="N44" s="69"/>
    </row>
    <row r="45" ht="14.25" spans="1:14">
      <c r="A45" s="69"/>
      <c r="B45" s="15" t="s">
        <v>13</v>
      </c>
      <c r="C45" s="15" t="s">
        <v>73</v>
      </c>
      <c r="D45" s="15" t="s">
        <v>58</v>
      </c>
      <c r="E45" s="7">
        <f>119040/48*9</f>
        <v>22320</v>
      </c>
      <c r="F45" s="2">
        <v>2</v>
      </c>
      <c r="G45" s="7">
        <f t="shared" si="0"/>
        <v>44640</v>
      </c>
      <c r="H45" s="8">
        <v>0.5</v>
      </c>
      <c r="I45" s="76">
        <f t="shared" si="1"/>
        <v>22300</v>
      </c>
      <c r="J45" s="15">
        <v>42</v>
      </c>
      <c r="K45" s="15">
        <v>1</v>
      </c>
      <c r="L45" s="69"/>
      <c r="M45" s="69"/>
      <c r="N45" s="69"/>
    </row>
    <row r="46" ht="14.25" spans="1:14">
      <c r="A46" s="69"/>
      <c r="B46" s="15" t="s">
        <v>13</v>
      </c>
      <c r="C46" s="15" t="s">
        <v>74</v>
      </c>
      <c r="D46" s="15" t="s">
        <v>58</v>
      </c>
      <c r="E46" s="7">
        <f>18900</f>
        <v>18900</v>
      </c>
      <c r="F46" s="2">
        <v>1</v>
      </c>
      <c r="G46" s="7">
        <f t="shared" si="0"/>
        <v>18900</v>
      </c>
      <c r="H46" s="8">
        <v>0.5</v>
      </c>
      <c r="I46" s="76">
        <f t="shared" si="1"/>
        <v>9400</v>
      </c>
      <c r="J46" s="15">
        <v>43</v>
      </c>
      <c r="K46" s="15">
        <v>1</v>
      </c>
      <c r="L46" s="69"/>
      <c r="M46" s="69"/>
      <c r="N46" s="69"/>
    </row>
    <row r="47" ht="14.25" spans="1:14">
      <c r="A47" s="69"/>
      <c r="B47" s="15" t="s">
        <v>75</v>
      </c>
      <c r="C47" s="15" t="s">
        <v>76</v>
      </c>
      <c r="D47" s="15" t="s">
        <v>58</v>
      </c>
      <c r="E47" s="7">
        <f>103872/48*9</f>
        <v>19476</v>
      </c>
      <c r="F47" s="2">
        <v>2</v>
      </c>
      <c r="G47" s="7">
        <f t="shared" si="0"/>
        <v>38952</v>
      </c>
      <c r="H47" s="8">
        <v>0.5</v>
      </c>
      <c r="I47" s="76">
        <f t="shared" si="1"/>
        <v>19400</v>
      </c>
      <c r="J47" s="15">
        <v>44</v>
      </c>
      <c r="K47" s="15">
        <v>7</v>
      </c>
      <c r="L47" s="69"/>
      <c r="M47" s="69"/>
      <c r="N47" s="69"/>
    </row>
    <row r="48" ht="14.25" spans="1:14">
      <c r="A48" s="69"/>
      <c r="B48" s="15" t="s">
        <v>21</v>
      </c>
      <c r="C48" s="15" t="s">
        <v>77</v>
      </c>
      <c r="D48" s="15" t="s">
        <v>58</v>
      </c>
      <c r="E48" s="7">
        <f>49980/21*9</f>
        <v>21420</v>
      </c>
      <c r="F48" s="2">
        <v>2</v>
      </c>
      <c r="G48" s="7">
        <f t="shared" si="0"/>
        <v>42840</v>
      </c>
      <c r="H48" s="8">
        <v>0.7</v>
      </c>
      <c r="I48" s="76">
        <f t="shared" si="1"/>
        <v>29900</v>
      </c>
      <c r="J48" s="15">
        <v>45</v>
      </c>
      <c r="K48" s="15">
        <v>11</v>
      </c>
      <c r="L48" s="69"/>
      <c r="M48" s="69"/>
      <c r="N48" s="69"/>
    </row>
    <row r="49" ht="14.25" spans="1:14">
      <c r="A49" s="69"/>
      <c r="B49" s="15" t="s">
        <v>64</v>
      </c>
      <c r="C49" s="15" t="s">
        <v>78</v>
      </c>
      <c r="D49" s="15" t="s">
        <v>58</v>
      </c>
      <c r="E49" s="7">
        <f>37800/18*9</f>
        <v>18900</v>
      </c>
      <c r="F49" s="2">
        <v>2</v>
      </c>
      <c r="G49" s="7">
        <f t="shared" si="0"/>
        <v>37800</v>
      </c>
      <c r="H49" s="8">
        <v>0.5</v>
      </c>
      <c r="I49" s="76">
        <f t="shared" si="1"/>
        <v>18900</v>
      </c>
      <c r="J49" s="15">
        <v>46</v>
      </c>
      <c r="K49" s="15">
        <v>2</v>
      </c>
      <c r="L49" s="69"/>
      <c r="M49" s="69"/>
      <c r="N49" s="69"/>
    </row>
    <row r="50" ht="14.25" spans="1:14">
      <c r="A50" s="69"/>
      <c r="B50" s="15" t="s">
        <v>61</v>
      </c>
      <c r="C50" s="15" t="s">
        <v>79</v>
      </c>
      <c r="D50" s="15" t="s">
        <v>58</v>
      </c>
      <c r="E50" s="7">
        <f>18900</f>
        <v>18900</v>
      </c>
      <c r="F50" s="2">
        <v>1</v>
      </c>
      <c r="G50" s="7">
        <f t="shared" si="0"/>
        <v>18900</v>
      </c>
      <c r="H50" s="8">
        <v>0.5</v>
      </c>
      <c r="I50" s="76">
        <f t="shared" si="1"/>
        <v>9400</v>
      </c>
      <c r="J50" s="15">
        <v>47</v>
      </c>
      <c r="K50" s="15">
        <v>6</v>
      </c>
      <c r="L50" s="69"/>
      <c r="M50" s="69"/>
      <c r="N50" s="69"/>
    </row>
    <row r="51" ht="14.25" spans="1:14">
      <c r="A51" s="69"/>
      <c r="B51" s="15" t="s">
        <v>13</v>
      </c>
      <c r="C51" s="15" t="s">
        <v>80</v>
      </c>
      <c r="D51" s="15" t="s">
        <v>58</v>
      </c>
      <c r="E51" s="7">
        <f>18900</f>
        <v>18900</v>
      </c>
      <c r="F51" s="2">
        <v>1</v>
      </c>
      <c r="G51" s="7">
        <f t="shared" si="0"/>
        <v>18900</v>
      </c>
      <c r="H51" s="8">
        <v>0.5</v>
      </c>
      <c r="I51" s="76">
        <f t="shared" si="1"/>
        <v>9400</v>
      </c>
      <c r="J51" s="15">
        <v>48</v>
      </c>
      <c r="K51" s="15">
        <v>1</v>
      </c>
      <c r="L51" s="69"/>
      <c r="M51" s="69"/>
      <c r="N51" s="69"/>
    </row>
    <row r="52" ht="14.25" spans="1:14">
      <c r="A52" s="69"/>
      <c r="B52" s="15" t="s">
        <v>13</v>
      </c>
      <c r="C52" s="15" t="s">
        <v>81</v>
      </c>
      <c r="D52" s="15" t="s">
        <v>58</v>
      </c>
      <c r="E52" s="7">
        <f>83300/35*9</f>
        <v>21420</v>
      </c>
      <c r="F52" s="2">
        <v>2</v>
      </c>
      <c r="G52" s="7">
        <f t="shared" si="0"/>
        <v>42840</v>
      </c>
      <c r="H52" s="8">
        <v>0.5</v>
      </c>
      <c r="I52" s="76">
        <f t="shared" si="1"/>
        <v>21400</v>
      </c>
      <c r="J52" s="15">
        <v>49</v>
      </c>
      <c r="K52" s="15">
        <v>1</v>
      </c>
      <c r="L52" s="69"/>
      <c r="M52" s="69"/>
      <c r="N52" s="69"/>
    </row>
    <row r="53" ht="14.25" spans="1:14">
      <c r="A53" s="69"/>
      <c r="B53" s="15" t="s">
        <v>67</v>
      </c>
      <c r="C53" s="15" t="s">
        <v>82</v>
      </c>
      <c r="D53" s="15" t="s">
        <v>58</v>
      </c>
      <c r="E53" s="7">
        <f>89280/36*9</f>
        <v>22320</v>
      </c>
      <c r="F53" s="2">
        <v>2</v>
      </c>
      <c r="G53" s="7">
        <f t="shared" si="0"/>
        <v>44640</v>
      </c>
      <c r="H53" s="8">
        <v>0.5</v>
      </c>
      <c r="I53" s="76">
        <f t="shared" si="1"/>
        <v>22300</v>
      </c>
      <c r="J53" s="15">
        <v>50</v>
      </c>
      <c r="K53" s="15">
        <v>13</v>
      </c>
      <c r="L53" s="69"/>
      <c r="M53" s="69"/>
      <c r="N53" s="69"/>
    </row>
    <row r="54" ht="14.25" spans="1:14">
      <c r="A54" s="69"/>
      <c r="B54" s="15" t="s">
        <v>28</v>
      </c>
      <c r="C54" s="15" t="s">
        <v>83</v>
      </c>
      <c r="D54" s="15" t="s">
        <v>58</v>
      </c>
      <c r="E54" s="7">
        <f>41000/21*9</f>
        <v>17571.4285714286</v>
      </c>
      <c r="F54" s="2">
        <v>2</v>
      </c>
      <c r="G54" s="7">
        <f t="shared" si="0"/>
        <v>35142.8571428571</v>
      </c>
      <c r="H54" s="8">
        <v>0.5</v>
      </c>
      <c r="I54" s="76">
        <f t="shared" si="1"/>
        <v>17500</v>
      </c>
      <c r="J54" s="15">
        <v>51</v>
      </c>
      <c r="K54" s="15">
        <v>12</v>
      </c>
      <c r="L54" s="69"/>
      <c r="M54" s="69"/>
      <c r="N54" s="69"/>
    </row>
    <row r="55" ht="14.25" spans="1:14">
      <c r="A55" s="69"/>
      <c r="B55" s="15" t="s">
        <v>13</v>
      </c>
      <c r="C55" s="15" t="s">
        <v>84</v>
      </c>
      <c r="D55" s="15" t="s">
        <v>58</v>
      </c>
      <c r="E55" s="7">
        <f>166600/42*9</f>
        <v>35700</v>
      </c>
      <c r="F55" s="2">
        <v>2</v>
      </c>
      <c r="G55" s="7">
        <f t="shared" si="0"/>
        <v>71400</v>
      </c>
      <c r="H55" s="8">
        <v>0.5</v>
      </c>
      <c r="I55" s="76">
        <f t="shared" si="1"/>
        <v>35700</v>
      </c>
      <c r="J55" s="15">
        <v>52</v>
      </c>
      <c r="K55" s="15">
        <v>1</v>
      </c>
      <c r="L55" s="69"/>
      <c r="M55" s="69"/>
      <c r="N55" s="69"/>
    </row>
    <row r="56" ht="14.25" spans="1:14">
      <c r="A56" s="69"/>
      <c r="B56" s="15" t="s">
        <v>13</v>
      </c>
      <c r="C56" s="15" t="s">
        <v>85</v>
      </c>
      <c r="D56" s="15" t="s">
        <v>58</v>
      </c>
      <c r="E56" s="7">
        <f>27000</f>
        <v>27000</v>
      </c>
      <c r="F56" s="2">
        <v>1</v>
      </c>
      <c r="G56" s="7">
        <f t="shared" si="0"/>
        <v>27000</v>
      </c>
      <c r="H56" s="8">
        <v>0.5</v>
      </c>
      <c r="I56" s="76">
        <f t="shared" si="1"/>
        <v>13500</v>
      </c>
      <c r="J56" s="15">
        <v>53</v>
      </c>
      <c r="K56" s="15">
        <v>1</v>
      </c>
      <c r="L56" s="69"/>
      <c r="M56" s="69"/>
      <c r="N56" s="69"/>
    </row>
    <row r="57" ht="14.25" spans="1:14">
      <c r="A57" s="69"/>
      <c r="B57" s="15" t="s">
        <v>61</v>
      </c>
      <c r="C57" s="15" t="s">
        <v>86</v>
      </c>
      <c r="D57" s="15" t="s">
        <v>20</v>
      </c>
      <c r="E57" s="7">
        <f>15900</f>
        <v>15900</v>
      </c>
      <c r="F57" s="2">
        <v>1</v>
      </c>
      <c r="G57" s="7">
        <f t="shared" si="0"/>
        <v>15900</v>
      </c>
      <c r="H57" s="8">
        <v>0.5</v>
      </c>
      <c r="I57" s="76">
        <f t="shared" si="1"/>
        <v>7900</v>
      </c>
      <c r="J57" s="15">
        <v>54</v>
      </c>
      <c r="K57" s="15">
        <v>6</v>
      </c>
      <c r="L57" s="69"/>
      <c r="M57" s="69"/>
      <c r="N57" s="69"/>
    </row>
    <row r="58" ht="14.25" spans="1:14">
      <c r="A58" s="69"/>
      <c r="B58" s="15" t="s">
        <v>13</v>
      </c>
      <c r="C58" s="15" t="s">
        <v>87</v>
      </c>
      <c r="D58" s="15" t="s">
        <v>20</v>
      </c>
      <c r="E58" s="7">
        <f>12000+(12000*6%)</f>
        <v>12720</v>
      </c>
      <c r="F58" s="2">
        <v>2</v>
      </c>
      <c r="G58" s="7">
        <f t="shared" si="0"/>
        <v>25440</v>
      </c>
      <c r="H58" s="8">
        <v>0.5</v>
      </c>
      <c r="I58" s="76">
        <f t="shared" si="1"/>
        <v>12700</v>
      </c>
      <c r="J58" s="15">
        <v>55</v>
      </c>
      <c r="K58" s="15">
        <v>1</v>
      </c>
      <c r="L58" s="69"/>
      <c r="M58" s="69"/>
      <c r="N58" s="69"/>
    </row>
    <row r="59" ht="14.25" spans="1:14">
      <c r="A59" s="69"/>
      <c r="B59" s="15" t="s">
        <v>28</v>
      </c>
      <c r="C59" s="15" t="s">
        <v>88</v>
      </c>
      <c r="D59" s="70" t="s">
        <v>30</v>
      </c>
      <c r="E59" s="7">
        <f>16800</f>
        <v>16800</v>
      </c>
      <c r="F59" s="2">
        <v>2</v>
      </c>
      <c r="G59" s="7">
        <f t="shared" si="0"/>
        <v>33600</v>
      </c>
      <c r="H59" s="8">
        <v>0.5</v>
      </c>
      <c r="I59" s="76">
        <f t="shared" si="1"/>
        <v>16800</v>
      </c>
      <c r="J59" s="15">
        <v>56</v>
      </c>
      <c r="K59" s="15">
        <v>12</v>
      </c>
      <c r="L59" s="69"/>
      <c r="M59" s="69"/>
      <c r="N59" s="69"/>
    </row>
    <row r="60" ht="14.25" spans="1:14">
      <c r="A60" s="69"/>
      <c r="B60" s="15" t="s">
        <v>13</v>
      </c>
      <c r="C60" s="15" t="s">
        <v>89</v>
      </c>
      <c r="D60" s="15" t="s">
        <v>20</v>
      </c>
      <c r="E60" s="7">
        <f>12000+(12000*6%)</f>
        <v>12720</v>
      </c>
      <c r="F60" s="2">
        <v>1</v>
      </c>
      <c r="G60" s="7">
        <f t="shared" si="0"/>
        <v>12720</v>
      </c>
      <c r="H60" s="8">
        <v>0.5</v>
      </c>
      <c r="I60" s="76">
        <f t="shared" si="1"/>
        <v>6300</v>
      </c>
      <c r="J60" s="15">
        <v>57</v>
      </c>
      <c r="K60" s="15">
        <v>1</v>
      </c>
      <c r="L60" s="69"/>
      <c r="M60" s="69"/>
      <c r="N60" s="69"/>
    </row>
    <row r="61" ht="14.25" spans="1:14">
      <c r="A61" s="69"/>
      <c r="B61" s="15" t="s">
        <v>28</v>
      </c>
      <c r="C61" s="15" t="s">
        <v>29</v>
      </c>
      <c r="D61" s="15" t="s">
        <v>44</v>
      </c>
      <c r="E61" s="7">
        <f>93750/75*9</f>
        <v>11250</v>
      </c>
      <c r="F61" s="2">
        <v>2</v>
      </c>
      <c r="G61" s="7">
        <f t="shared" si="0"/>
        <v>22500</v>
      </c>
      <c r="H61" s="8">
        <v>0.7</v>
      </c>
      <c r="I61" s="76">
        <f t="shared" si="1"/>
        <v>15700</v>
      </c>
      <c r="J61" s="15">
        <v>58</v>
      </c>
      <c r="K61" s="15">
        <v>12</v>
      </c>
      <c r="L61" s="69"/>
      <c r="M61" s="69"/>
      <c r="N61" s="69"/>
    </row>
    <row r="62" ht="14.25" spans="1:14">
      <c r="A62" s="69"/>
      <c r="B62" s="15" t="s">
        <v>28</v>
      </c>
      <c r="C62" s="15" t="s">
        <v>90</v>
      </c>
      <c r="D62" s="15" t="s">
        <v>15</v>
      </c>
      <c r="E62" s="7">
        <f>(37600-0)/4</f>
        <v>9400</v>
      </c>
      <c r="F62" s="2">
        <v>2</v>
      </c>
      <c r="G62" s="7">
        <f t="shared" si="0"/>
        <v>18800</v>
      </c>
      <c r="H62" s="8">
        <v>0.5</v>
      </c>
      <c r="I62" s="76">
        <f t="shared" si="1"/>
        <v>9400</v>
      </c>
      <c r="J62" s="15">
        <v>59</v>
      </c>
      <c r="K62" s="15">
        <v>12</v>
      </c>
      <c r="L62" s="69"/>
      <c r="M62" s="69"/>
      <c r="N62" s="69"/>
    </row>
    <row r="63" ht="14.25" spans="1:14">
      <c r="A63" s="69"/>
      <c r="B63" s="15" t="s">
        <v>18</v>
      </c>
      <c r="C63" s="15" t="s">
        <v>91</v>
      </c>
      <c r="D63" s="15" t="s">
        <v>15</v>
      </c>
      <c r="E63" s="7">
        <f>83200/8</f>
        <v>10400</v>
      </c>
      <c r="F63" s="2">
        <v>2</v>
      </c>
      <c r="G63" s="7">
        <f t="shared" si="0"/>
        <v>20800</v>
      </c>
      <c r="H63" s="8">
        <v>0.5</v>
      </c>
      <c r="I63" s="76">
        <f t="shared" si="1"/>
        <v>10400</v>
      </c>
      <c r="J63" s="15">
        <v>60</v>
      </c>
      <c r="K63" s="15">
        <v>10</v>
      </c>
      <c r="L63" s="69"/>
      <c r="M63" s="69"/>
      <c r="N63" s="69"/>
    </row>
    <row r="64" ht="14.25" spans="1:14">
      <c r="A64" s="69"/>
      <c r="B64" s="15" t="s">
        <v>59</v>
      </c>
      <c r="C64" s="15" t="s">
        <v>92</v>
      </c>
      <c r="D64" s="70" t="s">
        <v>30</v>
      </c>
      <c r="E64" s="7">
        <f>16800</f>
        <v>16800</v>
      </c>
      <c r="F64" s="2">
        <v>1</v>
      </c>
      <c r="G64" s="7">
        <f t="shared" si="0"/>
        <v>16800</v>
      </c>
      <c r="H64" s="8">
        <v>0.5</v>
      </c>
      <c r="I64" s="76">
        <f t="shared" si="1"/>
        <v>8400</v>
      </c>
      <c r="J64" s="15">
        <v>61</v>
      </c>
      <c r="K64" s="15">
        <v>5</v>
      </c>
      <c r="L64" s="69"/>
      <c r="M64" s="69"/>
      <c r="N64" s="69"/>
    </row>
    <row r="65" ht="14.25" spans="1:14">
      <c r="A65" s="69"/>
      <c r="B65" s="15" t="s">
        <v>59</v>
      </c>
      <c r="C65" s="15" t="s">
        <v>93</v>
      </c>
      <c r="D65" s="70" t="s">
        <v>30</v>
      </c>
      <c r="E65" s="7">
        <f>16800</f>
        <v>16800</v>
      </c>
      <c r="F65" s="2">
        <v>2</v>
      </c>
      <c r="G65" s="7">
        <f t="shared" si="0"/>
        <v>33600</v>
      </c>
      <c r="H65" s="8">
        <v>0.5</v>
      </c>
      <c r="I65" s="76">
        <f t="shared" si="1"/>
        <v>16800</v>
      </c>
      <c r="J65" s="15">
        <v>62</v>
      </c>
      <c r="K65" s="15">
        <v>5</v>
      </c>
      <c r="L65" s="69"/>
      <c r="M65" s="69"/>
      <c r="N65" s="69"/>
    </row>
    <row r="66" ht="14.25" spans="1:14">
      <c r="A66" s="69"/>
      <c r="B66" s="15" t="s">
        <v>28</v>
      </c>
      <c r="C66" s="15" t="s">
        <v>94</v>
      </c>
      <c r="D66" s="70" t="s">
        <v>30</v>
      </c>
      <c r="E66" s="7">
        <f>16800</f>
        <v>16800</v>
      </c>
      <c r="F66" s="2">
        <v>2</v>
      </c>
      <c r="G66" s="7">
        <f t="shared" si="0"/>
        <v>33600</v>
      </c>
      <c r="H66" s="8">
        <v>0.5</v>
      </c>
      <c r="I66" s="76">
        <f t="shared" si="1"/>
        <v>16800</v>
      </c>
      <c r="J66" s="15">
        <v>63</v>
      </c>
      <c r="K66" s="15">
        <v>12</v>
      </c>
      <c r="L66" s="69"/>
      <c r="M66" s="69"/>
      <c r="N66" s="69"/>
    </row>
    <row r="67" ht="14.25" spans="1:14">
      <c r="A67" s="69"/>
      <c r="B67" s="15" t="s">
        <v>28</v>
      </c>
      <c r="C67" s="15" t="s">
        <v>95</v>
      </c>
      <c r="D67" s="70" t="s">
        <v>30</v>
      </c>
      <c r="E67" s="7">
        <f>16800</f>
        <v>16800</v>
      </c>
      <c r="F67" s="2">
        <v>2</v>
      </c>
      <c r="G67" s="7">
        <f t="shared" si="0"/>
        <v>33600</v>
      </c>
      <c r="H67" s="8">
        <v>0.5</v>
      </c>
      <c r="I67" s="76">
        <f t="shared" si="1"/>
        <v>16800</v>
      </c>
      <c r="J67" s="15">
        <v>64</v>
      </c>
      <c r="K67" s="15">
        <v>12</v>
      </c>
      <c r="L67" s="69"/>
      <c r="M67" s="69"/>
      <c r="N67" s="69"/>
    </row>
    <row r="68" ht="14.25" spans="1:14">
      <c r="A68" s="69"/>
      <c r="B68" s="15" t="s">
        <v>21</v>
      </c>
      <c r="C68" s="15" t="s">
        <v>96</v>
      </c>
      <c r="D68" s="15" t="s">
        <v>20</v>
      </c>
      <c r="E68" s="7">
        <f>12000+(12000*6%)</f>
        <v>12720</v>
      </c>
      <c r="F68" s="2">
        <v>2</v>
      </c>
      <c r="G68" s="7">
        <f t="shared" ref="G68:G131" si="2">E68*F68</f>
        <v>25440</v>
      </c>
      <c r="H68" s="8">
        <v>0.5</v>
      </c>
      <c r="I68" s="76">
        <f t="shared" ref="I68:I131" si="3">ROUNDDOWN(G68*H68,-2)</f>
        <v>12700</v>
      </c>
      <c r="J68" s="15">
        <v>65</v>
      </c>
      <c r="K68" s="15">
        <v>11</v>
      </c>
      <c r="L68" s="69"/>
      <c r="M68" s="69"/>
      <c r="N68" s="69"/>
    </row>
    <row r="69" ht="14.25" spans="1:14">
      <c r="A69" s="69"/>
      <c r="B69" s="15" t="s">
        <v>13</v>
      </c>
      <c r="C69" s="15" t="s">
        <v>97</v>
      </c>
      <c r="D69" s="15" t="s">
        <v>20</v>
      </c>
      <c r="E69" s="7">
        <f>12000+(12000*6%)</f>
        <v>12720</v>
      </c>
      <c r="F69" s="2">
        <v>2</v>
      </c>
      <c r="G69" s="7">
        <f t="shared" si="2"/>
        <v>25440</v>
      </c>
      <c r="H69" s="8">
        <v>0.5</v>
      </c>
      <c r="I69" s="76">
        <f t="shared" si="3"/>
        <v>12700</v>
      </c>
      <c r="J69" s="15">
        <v>66</v>
      </c>
      <c r="K69" s="15">
        <v>1</v>
      </c>
      <c r="L69" s="69"/>
      <c r="M69" s="69"/>
      <c r="N69" s="69"/>
    </row>
    <row r="70" ht="14.25" spans="1:14">
      <c r="A70" s="69"/>
      <c r="B70" s="15" t="s">
        <v>98</v>
      </c>
      <c r="C70" s="15" t="s">
        <v>99</v>
      </c>
      <c r="D70" s="15" t="s">
        <v>20</v>
      </c>
      <c r="E70" s="7">
        <f>12000+(12000*6%)</f>
        <v>12720</v>
      </c>
      <c r="F70" s="2">
        <v>2</v>
      </c>
      <c r="G70" s="7">
        <f t="shared" si="2"/>
        <v>25440</v>
      </c>
      <c r="H70" s="8">
        <v>0.5</v>
      </c>
      <c r="I70" s="76">
        <f t="shared" si="3"/>
        <v>12700</v>
      </c>
      <c r="J70" s="15">
        <v>67</v>
      </c>
      <c r="K70" s="15">
        <v>8</v>
      </c>
      <c r="L70" s="69"/>
      <c r="M70" s="69"/>
      <c r="N70" s="69"/>
    </row>
    <row r="71" ht="14.25" spans="1:14">
      <c r="A71" s="69"/>
      <c r="B71" s="15" t="s">
        <v>25</v>
      </c>
      <c r="C71" s="15" t="s">
        <v>100</v>
      </c>
      <c r="D71" s="15" t="s">
        <v>15</v>
      </c>
      <c r="E71" s="7">
        <f>10400</f>
        <v>10400</v>
      </c>
      <c r="F71" s="2">
        <v>2</v>
      </c>
      <c r="G71" s="7">
        <f t="shared" si="2"/>
        <v>20800</v>
      </c>
      <c r="H71" s="8">
        <v>0.5</v>
      </c>
      <c r="I71" s="76">
        <f t="shared" si="3"/>
        <v>10400</v>
      </c>
      <c r="J71" s="15">
        <v>68</v>
      </c>
      <c r="K71" s="15">
        <v>15</v>
      </c>
      <c r="L71" s="69"/>
      <c r="M71" s="69"/>
      <c r="N71" s="69"/>
    </row>
    <row r="72" ht="14.25" spans="1:14">
      <c r="A72" s="36"/>
      <c r="B72" s="36" t="s">
        <v>28</v>
      </c>
      <c r="C72" s="36" t="s">
        <v>101</v>
      </c>
      <c r="D72" s="36" t="s">
        <v>15</v>
      </c>
      <c r="E72" s="71">
        <f>112800/12</f>
        <v>9400</v>
      </c>
      <c r="F72" s="72">
        <v>2</v>
      </c>
      <c r="G72" s="71">
        <f t="shared" si="2"/>
        <v>18800</v>
      </c>
      <c r="H72" s="8">
        <v>0.5</v>
      </c>
      <c r="I72" s="76">
        <f t="shared" si="3"/>
        <v>9400</v>
      </c>
      <c r="J72" s="36">
        <v>69</v>
      </c>
      <c r="K72" s="36">
        <v>12</v>
      </c>
      <c r="L72" s="36" t="s">
        <v>42</v>
      </c>
      <c r="M72" s="78"/>
      <c r="N72" s="36"/>
    </row>
    <row r="73" ht="14.25" spans="1:14">
      <c r="A73" s="69"/>
      <c r="B73" s="15" t="s">
        <v>98</v>
      </c>
      <c r="C73" s="15" t="s">
        <v>102</v>
      </c>
      <c r="D73" s="15" t="s">
        <v>15</v>
      </c>
      <c r="E73" s="7">
        <f>136800/72*9</f>
        <v>17100</v>
      </c>
      <c r="F73" s="2">
        <v>2</v>
      </c>
      <c r="G73" s="7">
        <f t="shared" si="2"/>
        <v>34200</v>
      </c>
      <c r="H73" s="8">
        <v>0.5</v>
      </c>
      <c r="I73" s="76">
        <f t="shared" si="3"/>
        <v>17100</v>
      </c>
      <c r="J73" s="15">
        <v>70</v>
      </c>
      <c r="K73" s="15">
        <v>8</v>
      </c>
      <c r="L73" s="69"/>
      <c r="M73" s="69"/>
      <c r="N73" s="69"/>
    </row>
    <row r="74" ht="14.25" spans="1:14">
      <c r="A74" s="69"/>
      <c r="B74" s="15" t="s">
        <v>25</v>
      </c>
      <c r="C74" s="15" t="s">
        <v>103</v>
      </c>
      <c r="D74" s="15" t="s">
        <v>15</v>
      </c>
      <c r="E74" s="7">
        <f>9500</f>
        <v>9500</v>
      </c>
      <c r="F74" s="2">
        <v>2</v>
      </c>
      <c r="G74" s="7">
        <f t="shared" si="2"/>
        <v>19000</v>
      </c>
      <c r="H74" s="8">
        <v>0.5</v>
      </c>
      <c r="I74" s="76">
        <f t="shared" si="3"/>
        <v>9500</v>
      </c>
      <c r="J74" s="15">
        <v>71</v>
      </c>
      <c r="K74" s="15">
        <v>15</v>
      </c>
      <c r="L74" s="69"/>
      <c r="M74" s="69"/>
      <c r="N74" s="69"/>
    </row>
    <row r="75" ht="14.25" spans="1:14">
      <c r="A75" s="69"/>
      <c r="B75" s="15" t="s">
        <v>98</v>
      </c>
      <c r="C75" s="15" t="s">
        <v>104</v>
      </c>
      <c r="D75" s="15" t="s">
        <v>20</v>
      </c>
      <c r="E75" s="7">
        <f>12000+(12000*6%)</f>
        <v>12720</v>
      </c>
      <c r="F75" s="2">
        <v>2</v>
      </c>
      <c r="G75" s="7">
        <f t="shared" si="2"/>
        <v>25440</v>
      </c>
      <c r="H75" s="8">
        <v>0.5</v>
      </c>
      <c r="I75" s="76">
        <f t="shared" si="3"/>
        <v>12700</v>
      </c>
      <c r="J75" s="15">
        <v>72</v>
      </c>
      <c r="K75" s="15">
        <v>8</v>
      </c>
      <c r="L75" s="69"/>
      <c r="M75" s="69"/>
      <c r="N75" s="69"/>
    </row>
    <row r="76" ht="14.25" spans="1:14">
      <c r="A76" s="69"/>
      <c r="B76" s="15" t="s">
        <v>13</v>
      </c>
      <c r="C76" s="15" t="s">
        <v>105</v>
      </c>
      <c r="D76" s="15" t="s">
        <v>58</v>
      </c>
      <c r="E76" s="7">
        <f>21420</f>
        <v>21420</v>
      </c>
      <c r="F76" s="2">
        <v>1</v>
      </c>
      <c r="G76" s="7">
        <f t="shared" si="2"/>
        <v>21420</v>
      </c>
      <c r="H76" s="8">
        <v>0.5</v>
      </c>
      <c r="I76" s="76">
        <f t="shared" si="3"/>
        <v>10700</v>
      </c>
      <c r="J76" s="15">
        <v>73</v>
      </c>
      <c r="K76" s="15">
        <v>1</v>
      </c>
      <c r="L76" s="69"/>
      <c r="M76" s="69"/>
      <c r="N76" s="69"/>
    </row>
    <row r="77" ht="14.25" spans="1:14">
      <c r="A77" s="69"/>
      <c r="B77" s="15" t="s">
        <v>98</v>
      </c>
      <c r="C77" s="15" t="s">
        <v>106</v>
      </c>
      <c r="D77" s="15" t="s">
        <v>20</v>
      </c>
      <c r="E77" s="7">
        <f>12000+(12000*6%)</f>
        <v>12720</v>
      </c>
      <c r="F77" s="2">
        <v>2</v>
      </c>
      <c r="G77" s="7">
        <f t="shared" si="2"/>
        <v>25440</v>
      </c>
      <c r="H77" s="8">
        <v>0.5</v>
      </c>
      <c r="I77" s="76">
        <f t="shared" si="3"/>
        <v>12700</v>
      </c>
      <c r="J77" s="15">
        <v>74</v>
      </c>
      <c r="K77" s="15">
        <v>8</v>
      </c>
      <c r="L77" s="69"/>
      <c r="M77" s="69"/>
      <c r="N77" s="69"/>
    </row>
    <row r="78" ht="14.25" spans="1:14">
      <c r="A78" s="69"/>
      <c r="B78" s="15" t="s">
        <v>25</v>
      </c>
      <c r="C78" s="15" t="s">
        <v>107</v>
      </c>
      <c r="D78" s="15" t="s">
        <v>44</v>
      </c>
      <c r="E78" s="7">
        <f>12000+(12000*6%)</f>
        <v>12720</v>
      </c>
      <c r="F78" s="2">
        <v>2</v>
      </c>
      <c r="G78" s="7">
        <f t="shared" si="2"/>
        <v>25440</v>
      </c>
      <c r="H78" s="8">
        <v>0.5</v>
      </c>
      <c r="I78" s="76">
        <f t="shared" si="3"/>
        <v>12700</v>
      </c>
      <c r="J78" s="15">
        <v>75</v>
      </c>
      <c r="K78" s="15">
        <v>15</v>
      </c>
      <c r="L78" s="69"/>
      <c r="M78" s="69"/>
      <c r="N78" s="69"/>
    </row>
    <row r="79" ht="14.25" spans="1:14">
      <c r="A79" s="69"/>
      <c r="B79" s="15" t="s">
        <v>13</v>
      </c>
      <c r="C79" s="15" t="s">
        <v>108</v>
      </c>
      <c r="D79" s="15" t="s">
        <v>109</v>
      </c>
      <c r="E79" s="7">
        <f>32000</f>
        <v>32000</v>
      </c>
      <c r="F79" s="2">
        <v>1</v>
      </c>
      <c r="G79" s="7">
        <f t="shared" si="2"/>
        <v>32000</v>
      </c>
      <c r="H79" s="8">
        <v>0.5</v>
      </c>
      <c r="I79" s="76">
        <f t="shared" si="3"/>
        <v>16000</v>
      </c>
      <c r="J79" s="15">
        <v>76</v>
      </c>
      <c r="K79" s="15">
        <v>1</v>
      </c>
      <c r="L79" s="69"/>
      <c r="M79" s="69"/>
      <c r="N79" s="69"/>
    </row>
    <row r="80" ht="14.25" spans="1:14">
      <c r="A80" s="69"/>
      <c r="B80" s="15" t="s">
        <v>28</v>
      </c>
      <c r="C80" s="15" t="s">
        <v>110</v>
      </c>
      <c r="D80" s="15" t="s">
        <v>15</v>
      </c>
      <c r="E80" s="7">
        <f>(94000-0)/10</f>
        <v>9400</v>
      </c>
      <c r="F80" s="2">
        <v>2</v>
      </c>
      <c r="G80" s="7">
        <f t="shared" si="2"/>
        <v>18800</v>
      </c>
      <c r="H80" s="8">
        <v>0.5</v>
      </c>
      <c r="I80" s="76">
        <f t="shared" si="3"/>
        <v>9400</v>
      </c>
      <c r="J80" s="15">
        <v>77</v>
      </c>
      <c r="K80" s="15">
        <v>12</v>
      </c>
      <c r="L80" s="69"/>
      <c r="M80" s="69"/>
      <c r="N80" s="69"/>
    </row>
    <row r="81" ht="14.25" spans="1:14">
      <c r="A81" s="69"/>
      <c r="B81" s="15" t="s">
        <v>28</v>
      </c>
      <c r="C81" s="15" t="s">
        <v>111</v>
      </c>
      <c r="D81" s="15" t="s">
        <v>44</v>
      </c>
      <c r="E81" s="7">
        <f>40500/30*9</f>
        <v>12150</v>
      </c>
      <c r="F81" s="2">
        <v>2</v>
      </c>
      <c r="G81" s="7">
        <f t="shared" si="2"/>
        <v>24300</v>
      </c>
      <c r="H81" s="8">
        <v>0.5</v>
      </c>
      <c r="I81" s="76">
        <f t="shared" si="3"/>
        <v>12100</v>
      </c>
      <c r="J81" s="15">
        <v>78</v>
      </c>
      <c r="K81" s="15">
        <v>12</v>
      </c>
      <c r="L81" s="69"/>
      <c r="M81" s="69"/>
      <c r="N81" s="69"/>
    </row>
    <row r="82" ht="14.25" spans="1:14">
      <c r="A82" s="69"/>
      <c r="B82" s="15" t="s">
        <v>112</v>
      </c>
      <c r="C82" s="15" t="s">
        <v>113</v>
      </c>
      <c r="D82" s="15" t="s">
        <v>20</v>
      </c>
      <c r="E82" s="7">
        <f>12000+(12000*6%)</f>
        <v>12720</v>
      </c>
      <c r="F82" s="2">
        <v>1</v>
      </c>
      <c r="G82" s="7">
        <f t="shared" si="2"/>
        <v>12720</v>
      </c>
      <c r="H82" s="8">
        <v>0.5</v>
      </c>
      <c r="I82" s="76">
        <f t="shared" si="3"/>
        <v>6300</v>
      </c>
      <c r="J82" s="15">
        <v>79</v>
      </c>
      <c r="K82" s="15">
        <v>4</v>
      </c>
      <c r="L82" s="69"/>
      <c r="M82" s="69"/>
      <c r="N82" s="69"/>
    </row>
    <row r="83" ht="14.25" spans="1:14">
      <c r="A83" s="36"/>
      <c r="B83" s="36" t="s">
        <v>23</v>
      </c>
      <c r="C83" s="36" t="s">
        <v>114</v>
      </c>
      <c r="D83" s="36" t="s">
        <v>20</v>
      </c>
      <c r="E83" s="71">
        <f>12000+(12000*6%)</f>
        <v>12720</v>
      </c>
      <c r="F83" s="72">
        <v>1</v>
      </c>
      <c r="G83" s="71">
        <f t="shared" si="2"/>
        <v>12720</v>
      </c>
      <c r="H83" s="8">
        <v>0.5</v>
      </c>
      <c r="I83" s="76">
        <f t="shared" si="3"/>
        <v>6300</v>
      </c>
      <c r="J83" s="36">
        <v>80</v>
      </c>
      <c r="K83" s="36">
        <v>9</v>
      </c>
      <c r="L83" s="36" t="s">
        <v>42</v>
      </c>
      <c r="M83" s="78"/>
      <c r="N83" s="36"/>
    </row>
    <row r="84" ht="14.25" spans="1:14">
      <c r="A84" s="15"/>
      <c r="B84" s="15" t="s">
        <v>23</v>
      </c>
      <c r="C84" s="15" t="s">
        <v>115</v>
      </c>
      <c r="D84" s="15" t="s">
        <v>15</v>
      </c>
      <c r="E84" s="7"/>
      <c r="F84" s="2">
        <v>2</v>
      </c>
      <c r="G84" s="7">
        <f t="shared" si="2"/>
        <v>0</v>
      </c>
      <c r="H84" s="8">
        <v>0.5</v>
      </c>
      <c r="I84" s="76">
        <f t="shared" si="3"/>
        <v>0</v>
      </c>
      <c r="J84" s="15">
        <v>81</v>
      </c>
      <c r="K84" s="15">
        <v>9</v>
      </c>
      <c r="L84" s="15" t="s">
        <v>116</v>
      </c>
      <c r="M84" s="15"/>
      <c r="N84" s="15"/>
    </row>
    <row r="85" ht="14.25" spans="1:14">
      <c r="A85" s="69"/>
      <c r="B85" s="15" t="s">
        <v>28</v>
      </c>
      <c r="C85" s="15" t="s">
        <v>117</v>
      </c>
      <c r="D85" s="15" t="s">
        <v>44</v>
      </c>
      <c r="E85" s="7">
        <f>20000/18*9</f>
        <v>10000</v>
      </c>
      <c r="F85" s="2">
        <v>2</v>
      </c>
      <c r="G85" s="7">
        <f t="shared" si="2"/>
        <v>20000</v>
      </c>
      <c r="H85" s="8">
        <v>0.5</v>
      </c>
      <c r="I85" s="76">
        <f t="shared" si="3"/>
        <v>10000</v>
      </c>
      <c r="J85" s="15">
        <v>82</v>
      </c>
      <c r="K85" s="15">
        <v>12</v>
      </c>
      <c r="L85" s="69"/>
      <c r="M85" s="69"/>
      <c r="N85" s="69"/>
    </row>
    <row r="86" ht="14.25" spans="1:14">
      <c r="A86" s="36"/>
      <c r="B86" s="36" t="s">
        <v>28</v>
      </c>
      <c r="C86" s="36" t="s">
        <v>118</v>
      </c>
      <c r="D86" s="36" t="s">
        <v>15</v>
      </c>
      <c r="E86" s="71">
        <f>56400/6</f>
        <v>9400</v>
      </c>
      <c r="F86" s="72">
        <v>2</v>
      </c>
      <c r="G86" s="71">
        <f t="shared" si="2"/>
        <v>18800</v>
      </c>
      <c r="H86" s="8">
        <v>0.5</v>
      </c>
      <c r="I86" s="76">
        <f t="shared" si="3"/>
        <v>9400</v>
      </c>
      <c r="J86" s="36">
        <v>83</v>
      </c>
      <c r="K86" s="36">
        <v>12</v>
      </c>
      <c r="L86" s="36" t="s">
        <v>42</v>
      </c>
      <c r="M86" s="78"/>
      <c r="N86" s="36"/>
    </row>
    <row r="87" ht="14.25" spans="1:14">
      <c r="A87" s="15"/>
      <c r="B87" s="15" t="s">
        <v>13</v>
      </c>
      <c r="C87" s="15" t="s">
        <v>119</v>
      </c>
      <c r="D87" s="15" t="s">
        <v>15</v>
      </c>
      <c r="E87" s="7">
        <f>10400</f>
        <v>10400</v>
      </c>
      <c r="F87" s="2">
        <v>2</v>
      </c>
      <c r="G87" s="7">
        <f t="shared" si="2"/>
        <v>20800</v>
      </c>
      <c r="H87" s="8">
        <v>0.5</v>
      </c>
      <c r="I87" s="76">
        <f t="shared" si="3"/>
        <v>10400</v>
      </c>
      <c r="J87" s="15">
        <v>84</v>
      </c>
      <c r="K87" s="15">
        <v>1</v>
      </c>
      <c r="L87" s="15"/>
      <c r="M87" s="15"/>
      <c r="N87" s="15"/>
    </row>
    <row r="88" ht="14.25" spans="1:14">
      <c r="A88" s="69"/>
      <c r="B88" s="15" t="s">
        <v>13</v>
      </c>
      <c r="C88" s="15" t="s">
        <v>120</v>
      </c>
      <c r="D88" s="15" t="s">
        <v>20</v>
      </c>
      <c r="E88" s="7">
        <f>12000+(12000*6%)</f>
        <v>12720</v>
      </c>
      <c r="F88" s="2">
        <v>2</v>
      </c>
      <c r="G88" s="7">
        <f t="shared" si="2"/>
        <v>25440</v>
      </c>
      <c r="H88" s="8">
        <v>0.5</v>
      </c>
      <c r="I88" s="76">
        <f t="shared" si="3"/>
        <v>12700</v>
      </c>
      <c r="J88" s="15">
        <v>85</v>
      </c>
      <c r="K88" s="15">
        <v>1</v>
      </c>
      <c r="L88" s="69"/>
      <c r="M88" s="69"/>
      <c r="N88" s="69"/>
    </row>
    <row r="89" ht="14.25" spans="1:14">
      <c r="A89" s="69"/>
      <c r="B89" s="15" t="s">
        <v>61</v>
      </c>
      <c r="C89" s="15" t="s">
        <v>121</v>
      </c>
      <c r="D89" s="15" t="s">
        <v>20</v>
      </c>
      <c r="E89" s="7">
        <f>83952/36*9</f>
        <v>20988</v>
      </c>
      <c r="F89" s="2">
        <v>2</v>
      </c>
      <c r="G89" s="7">
        <f t="shared" si="2"/>
        <v>41976</v>
      </c>
      <c r="H89" s="8">
        <v>0.7</v>
      </c>
      <c r="I89" s="76">
        <f t="shared" si="3"/>
        <v>29300</v>
      </c>
      <c r="J89" s="15">
        <v>86</v>
      </c>
      <c r="K89" s="15">
        <v>6</v>
      </c>
      <c r="L89" s="69"/>
      <c r="M89" s="69"/>
      <c r="N89" s="69"/>
    </row>
    <row r="90" ht="14.25" spans="1:14">
      <c r="A90" s="69"/>
      <c r="B90" s="15" t="s">
        <v>21</v>
      </c>
      <c r="C90" s="15" t="s">
        <v>122</v>
      </c>
      <c r="D90" s="15" t="s">
        <v>123</v>
      </c>
      <c r="E90" s="7">
        <f>28800/3</f>
        <v>9600</v>
      </c>
      <c r="F90" s="2">
        <v>2</v>
      </c>
      <c r="G90" s="7">
        <f t="shared" si="2"/>
        <v>19200</v>
      </c>
      <c r="H90" s="8">
        <v>0.5</v>
      </c>
      <c r="I90" s="76">
        <f t="shared" si="3"/>
        <v>9600</v>
      </c>
      <c r="J90" s="15">
        <v>87</v>
      </c>
      <c r="K90" s="15">
        <v>11</v>
      </c>
      <c r="L90" s="69"/>
      <c r="M90" s="69"/>
      <c r="N90" s="69"/>
    </row>
    <row r="91" ht="14.25" spans="1:14">
      <c r="A91" s="69"/>
      <c r="B91" s="15" t="s">
        <v>13</v>
      </c>
      <c r="C91" s="15" t="s">
        <v>124</v>
      </c>
      <c r="D91" s="15" t="s">
        <v>20</v>
      </c>
      <c r="E91" s="7">
        <f>12000+(12000*6%)</f>
        <v>12720</v>
      </c>
      <c r="F91" s="2">
        <v>2</v>
      </c>
      <c r="G91" s="7">
        <f t="shared" si="2"/>
        <v>25440</v>
      </c>
      <c r="H91" s="8">
        <v>0.5</v>
      </c>
      <c r="I91" s="76">
        <f t="shared" si="3"/>
        <v>12700</v>
      </c>
      <c r="J91" s="15">
        <v>88</v>
      </c>
      <c r="K91" s="15">
        <v>1</v>
      </c>
      <c r="L91" s="69"/>
      <c r="M91" s="69"/>
      <c r="N91" s="69"/>
    </row>
    <row r="92" ht="14.25" spans="1:14">
      <c r="A92" s="69"/>
      <c r="B92" s="15" t="s">
        <v>61</v>
      </c>
      <c r="C92" s="15" t="s">
        <v>125</v>
      </c>
      <c r="D92" s="70" t="s">
        <v>30</v>
      </c>
      <c r="E92" s="7">
        <f>16800</f>
        <v>16800</v>
      </c>
      <c r="F92" s="2">
        <v>1</v>
      </c>
      <c r="G92" s="7">
        <f t="shared" si="2"/>
        <v>16800</v>
      </c>
      <c r="H92" s="8">
        <v>0.5</v>
      </c>
      <c r="I92" s="76">
        <f t="shared" si="3"/>
        <v>8400</v>
      </c>
      <c r="J92" s="15">
        <v>89</v>
      </c>
      <c r="K92" s="15">
        <v>6</v>
      </c>
      <c r="L92" s="69"/>
      <c r="M92" s="69"/>
      <c r="N92" s="69"/>
    </row>
    <row r="93" ht="14.25" spans="1:14">
      <c r="A93" s="69"/>
      <c r="B93" s="15" t="s">
        <v>21</v>
      </c>
      <c r="C93" s="15" t="s">
        <v>126</v>
      </c>
      <c r="D93" s="15" t="s">
        <v>20</v>
      </c>
      <c r="E93" s="7">
        <f>2332*9</f>
        <v>20988</v>
      </c>
      <c r="F93" s="2">
        <v>2</v>
      </c>
      <c r="G93" s="7">
        <f t="shared" si="2"/>
        <v>41976</v>
      </c>
      <c r="H93" s="8">
        <v>0.5</v>
      </c>
      <c r="I93" s="76">
        <f t="shared" si="3"/>
        <v>20900</v>
      </c>
      <c r="J93" s="15">
        <v>90</v>
      </c>
      <c r="K93" s="15">
        <v>11</v>
      </c>
      <c r="L93" s="69"/>
      <c r="M93" s="69"/>
      <c r="N93" s="69"/>
    </row>
    <row r="94" ht="14.25" spans="1:14">
      <c r="A94" s="69"/>
      <c r="B94" s="15" t="s">
        <v>28</v>
      </c>
      <c r="C94" s="15" t="s">
        <v>127</v>
      </c>
      <c r="D94" s="70" t="s">
        <v>30</v>
      </c>
      <c r="E94" s="7">
        <f>16800</f>
        <v>16800</v>
      </c>
      <c r="F94" s="2">
        <v>1</v>
      </c>
      <c r="G94" s="7">
        <f t="shared" si="2"/>
        <v>16800</v>
      </c>
      <c r="H94" s="8">
        <v>0.5</v>
      </c>
      <c r="I94" s="76">
        <f t="shared" si="3"/>
        <v>8400</v>
      </c>
      <c r="J94" s="15">
        <v>91</v>
      </c>
      <c r="K94" s="15">
        <v>12</v>
      </c>
      <c r="L94" s="69"/>
      <c r="M94" s="69"/>
      <c r="N94" s="69"/>
    </row>
    <row r="95" ht="14.25" spans="1:14">
      <c r="A95" s="69"/>
      <c r="B95" s="15" t="s">
        <v>13</v>
      </c>
      <c r="C95" s="15" t="s">
        <v>128</v>
      </c>
      <c r="D95" s="15" t="s">
        <v>20</v>
      </c>
      <c r="E95" s="7">
        <f>12000+(12000*6%)</f>
        <v>12720</v>
      </c>
      <c r="F95" s="2">
        <v>2</v>
      </c>
      <c r="G95" s="7">
        <f t="shared" si="2"/>
        <v>25440</v>
      </c>
      <c r="H95" s="8">
        <v>0.5</v>
      </c>
      <c r="I95" s="76">
        <f t="shared" si="3"/>
        <v>12700</v>
      </c>
      <c r="J95" s="15">
        <v>92</v>
      </c>
      <c r="K95" s="15">
        <v>1</v>
      </c>
      <c r="L95" s="69"/>
      <c r="M95" s="69"/>
      <c r="N95" s="69"/>
    </row>
    <row r="96" ht="14.25" spans="1:14">
      <c r="A96" s="69"/>
      <c r="B96" s="15" t="s">
        <v>13</v>
      </c>
      <c r="C96" s="15" t="s">
        <v>129</v>
      </c>
      <c r="D96" s="15" t="s">
        <v>20</v>
      </c>
      <c r="E96" s="7">
        <f>12000+(12000*6%)</f>
        <v>12720</v>
      </c>
      <c r="F96" s="2">
        <v>1</v>
      </c>
      <c r="G96" s="7">
        <f t="shared" si="2"/>
        <v>12720</v>
      </c>
      <c r="H96" s="8">
        <v>0.5</v>
      </c>
      <c r="I96" s="76">
        <f t="shared" si="3"/>
        <v>6300</v>
      </c>
      <c r="J96" s="15">
        <v>93</v>
      </c>
      <c r="K96" s="15">
        <v>1</v>
      </c>
      <c r="L96" s="69"/>
      <c r="M96" s="69"/>
      <c r="N96" s="69"/>
    </row>
    <row r="97" ht="14.25" spans="1:14">
      <c r="A97" s="69"/>
      <c r="B97" s="15" t="s">
        <v>59</v>
      </c>
      <c r="C97" s="15" t="s">
        <v>130</v>
      </c>
      <c r="D97" s="15" t="s">
        <v>131</v>
      </c>
      <c r="E97" s="7">
        <f>19800</f>
        <v>19800</v>
      </c>
      <c r="F97" s="2">
        <v>1</v>
      </c>
      <c r="G97" s="7">
        <f t="shared" si="2"/>
        <v>19800</v>
      </c>
      <c r="H97" s="8">
        <v>0.5</v>
      </c>
      <c r="I97" s="76">
        <f t="shared" si="3"/>
        <v>9900</v>
      </c>
      <c r="J97" s="15">
        <v>94</v>
      </c>
      <c r="K97" s="15">
        <v>5</v>
      </c>
      <c r="L97" s="69"/>
      <c r="M97" s="69"/>
      <c r="N97" s="69"/>
    </row>
    <row r="98" ht="14.25" spans="1:14">
      <c r="A98" s="69"/>
      <c r="B98" s="15" t="s">
        <v>23</v>
      </c>
      <c r="C98" s="15" t="s">
        <v>132</v>
      </c>
      <c r="D98" s="15" t="s">
        <v>131</v>
      </c>
      <c r="E98" s="7">
        <f>39600/18*9</f>
        <v>19800</v>
      </c>
      <c r="F98" s="2">
        <v>2</v>
      </c>
      <c r="G98" s="7">
        <f t="shared" si="2"/>
        <v>39600</v>
      </c>
      <c r="H98" s="8">
        <v>0.5</v>
      </c>
      <c r="I98" s="76">
        <f t="shared" si="3"/>
        <v>19800</v>
      </c>
      <c r="J98" s="15">
        <v>95</v>
      </c>
      <c r="K98" s="15">
        <v>9</v>
      </c>
      <c r="L98" s="69"/>
      <c r="M98" s="69"/>
      <c r="N98" s="69"/>
    </row>
    <row r="99" ht="14.25" spans="1:14">
      <c r="A99" s="69"/>
      <c r="B99" s="15" t="s">
        <v>18</v>
      </c>
      <c r="C99" s="15" t="s">
        <v>133</v>
      </c>
      <c r="D99" s="15" t="s">
        <v>20</v>
      </c>
      <c r="E99" s="7">
        <f>12000+(12000*6%)</f>
        <v>12720</v>
      </c>
      <c r="F99" s="2">
        <v>1</v>
      </c>
      <c r="G99" s="7">
        <f t="shared" si="2"/>
        <v>12720</v>
      </c>
      <c r="H99" s="8">
        <v>0.5</v>
      </c>
      <c r="I99" s="76">
        <f t="shared" si="3"/>
        <v>6300</v>
      </c>
      <c r="J99" s="15">
        <v>96</v>
      </c>
      <c r="K99" s="15">
        <v>10</v>
      </c>
      <c r="L99" s="69"/>
      <c r="M99" s="69"/>
      <c r="N99" s="69"/>
    </row>
    <row r="100" ht="14.25" spans="1:14">
      <c r="A100" s="69"/>
      <c r="B100" s="15" t="s">
        <v>28</v>
      </c>
      <c r="C100" s="15" t="s">
        <v>134</v>
      </c>
      <c r="D100" s="15" t="s">
        <v>131</v>
      </c>
      <c r="E100" s="7">
        <f>19800</f>
        <v>19800</v>
      </c>
      <c r="F100" s="2">
        <v>1</v>
      </c>
      <c r="G100" s="7">
        <f t="shared" si="2"/>
        <v>19800</v>
      </c>
      <c r="H100" s="8">
        <v>0.5</v>
      </c>
      <c r="I100" s="76">
        <f t="shared" si="3"/>
        <v>9900</v>
      </c>
      <c r="J100" s="15">
        <v>97</v>
      </c>
      <c r="K100" s="15">
        <v>12</v>
      </c>
      <c r="L100" s="69"/>
      <c r="M100" s="69"/>
      <c r="N100" s="69"/>
    </row>
    <row r="101" ht="14.25" spans="1:14">
      <c r="A101" s="69"/>
      <c r="B101" s="15" t="s">
        <v>98</v>
      </c>
      <c r="C101" s="15" t="s">
        <v>135</v>
      </c>
      <c r="D101" s="15" t="s">
        <v>15</v>
      </c>
      <c r="E101" s="7">
        <f>153000/90*9</f>
        <v>15300</v>
      </c>
      <c r="F101" s="2">
        <v>2</v>
      </c>
      <c r="G101" s="7">
        <f t="shared" si="2"/>
        <v>30600</v>
      </c>
      <c r="H101" s="8">
        <v>0.5</v>
      </c>
      <c r="I101" s="76">
        <f t="shared" si="3"/>
        <v>15300</v>
      </c>
      <c r="J101" s="15">
        <v>98</v>
      </c>
      <c r="K101" s="15">
        <v>8</v>
      </c>
      <c r="L101" s="69"/>
      <c r="M101" s="69"/>
      <c r="N101" s="69"/>
    </row>
    <row r="102" ht="14.25" spans="1:14">
      <c r="A102" s="69"/>
      <c r="B102" s="15" t="s">
        <v>25</v>
      </c>
      <c r="C102" s="15" t="s">
        <v>136</v>
      </c>
      <c r="D102" s="15" t="s">
        <v>15</v>
      </c>
      <c r="E102" s="7">
        <f>41600/4</f>
        <v>10400</v>
      </c>
      <c r="F102" s="2">
        <v>2</v>
      </c>
      <c r="G102" s="7">
        <f t="shared" si="2"/>
        <v>20800</v>
      </c>
      <c r="H102" s="8">
        <v>0.5</v>
      </c>
      <c r="I102" s="76">
        <f t="shared" si="3"/>
        <v>10400</v>
      </c>
      <c r="J102" s="15">
        <v>99</v>
      </c>
      <c r="K102" s="15">
        <v>15</v>
      </c>
      <c r="L102" s="69"/>
      <c r="M102" s="69"/>
      <c r="N102" s="69"/>
    </row>
    <row r="103" ht="14.25" spans="1:14">
      <c r="A103" s="69"/>
      <c r="B103" s="15" t="s">
        <v>112</v>
      </c>
      <c r="C103" s="15" t="s">
        <v>137</v>
      </c>
      <c r="D103" s="15" t="s">
        <v>131</v>
      </c>
      <c r="E103" s="7">
        <f>39600/18*9</f>
        <v>19800</v>
      </c>
      <c r="F103" s="2">
        <v>2</v>
      </c>
      <c r="G103" s="7">
        <f t="shared" si="2"/>
        <v>39600</v>
      </c>
      <c r="H103" s="8">
        <v>0.5</v>
      </c>
      <c r="I103" s="76">
        <f t="shared" si="3"/>
        <v>19800</v>
      </c>
      <c r="J103" s="15">
        <v>100</v>
      </c>
      <c r="K103" s="15">
        <v>4</v>
      </c>
      <c r="L103" s="69"/>
      <c r="M103" s="69"/>
      <c r="N103" s="69"/>
    </row>
    <row r="104" ht="14.25" spans="1:14">
      <c r="A104" s="69"/>
      <c r="B104" s="15" t="s">
        <v>13</v>
      </c>
      <c r="C104" s="15" t="s">
        <v>138</v>
      </c>
      <c r="D104" s="15" t="s">
        <v>20</v>
      </c>
      <c r="E104" s="7">
        <f>12000+(12000*6%)</f>
        <v>12720</v>
      </c>
      <c r="F104" s="2">
        <v>1</v>
      </c>
      <c r="G104" s="7">
        <f t="shared" si="2"/>
        <v>12720</v>
      </c>
      <c r="H104" s="8">
        <v>0.5</v>
      </c>
      <c r="I104" s="76">
        <f t="shared" si="3"/>
        <v>6300</v>
      </c>
      <c r="J104" s="15">
        <v>101</v>
      </c>
      <c r="K104" s="15">
        <v>1</v>
      </c>
      <c r="L104" s="69"/>
      <c r="M104" s="69"/>
      <c r="N104" s="69"/>
    </row>
    <row r="105" ht="14.25" spans="1:14">
      <c r="A105" s="69"/>
      <c r="B105" s="15" t="s">
        <v>25</v>
      </c>
      <c r="C105" s="15" t="s">
        <v>139</v>
      </c>
      <c r="D105" s="15" t="s">
        <v>15</v>
      </c>
      <c r="E105" s="7">
        <f>10900</f>
        <v>10900</v>
      </c>
      <c r="F105" s="2">
        <v>1</v>
      </c>
      <c r="G105" s="7">
        <f t="shared" si="2"/>
        <v>10900</v>
      </c>
      <c r="H105" s="8">
        <v>0.5</v>
      </c>
      <c r="I105" s="76">
        <f t="shared" si="3"/>
        <v>5400</v>
      </c>
      <c r="J105" s="15">
        <v>102</v>
      </c>
      <c r="K105" s="15">
        <v>15</v>
      </c>
      <c r="L105" s="69"/>
      <c r="M105" s="69"/>
      <c r="N105" s="69"/>
    </row>
    <row r="106" ht="14.25" spans="1:14">
      <c r="A106" s="69"/>
      <c r="B106" s="15" t="s">
        <v>59</v>
      </c>
      <c r="C106" s="15" t="s">
        <v>140</v>
      </c>
      <c r="D106" s="70" t="s">
        <v>30</v>
      </c>
      <c r="E106" s="7">
        <f>16800</f>
        <v>16800</v>
      </c>
      <c r="F106" s="2">
        <v>2</v>
      </c>
      <c r="G106" s="7">
        <f t="shared" si="2"/>
        <v>33600</v>
      </c>
      <c r="H106" s="8">
        <v>0.5</v>
      </c>
      <c r="I106" s="76">
        <f t="shared" si="3"/>
        <v>16800</v>
      </c>
      <c r="J106" s="15">
        <v>103</v>
      </c>
      <c r="K106" s="15">
        <v>5</v>
      </c>
      <c r="L106" s="69"/>
      <c r="M106" s="69"/>
      <c r="N106" s="69"/>
    </row>
    <row r="107" ht="14.25" spans="1:14">
      <c r="A107" s="69"/>
      <c r="B107" s="15" t="s">
        <v>13</v>
      </c>
      <c r="C107" s="15" t="s">
        <v>141</v>
      </c>
      <c r="D107" s="15" t="s">
        <v>20</v>
      </c>
      <c r="E107" s="7">
        <f>2200*9</f>
        <v>19800</v>
      </c>
      <c r="F107" s="2">
        <v>2</v>
      </c>
      <c r="G107" s="7">
        <f t="shared" si="2"/>
        <v>39600</v>
      </c>
      <c r="H107" s="8">
        <v>0.5</v>
      </c>
      <c r="I107" s="76">
        <f t="shared" si="3"/>
        <v>19800</v>
      </c>
      <c r="J107" s="15">
        <v>104</v>
      </c>
      <c r="K107" s="15">
        <v>1</v>
      </c>
      <c r="L107" s="69"/>
      <c r="M107" s="69"/>
      <c r="N107" s="69"/>
    </row>
    <row r="108" ht="14.25" spans="1:14">
      <c r="A108" s="69"/>
      <c r="B108" s="15" t="s">
        <v>51</v>
      </c>
      <c r="C108" s="15" t="s">
        <v>142</v>
      </c>
      <c r="D108" s="15" t="s">
        <v>131</v>
      </c>
      <c r="E108" s="7">
        <f>19800</f>
        <v>19800</v>
      </c>
      <c r="F108" s="2">
        <v>2</v>
      </c>
      <c r="G108" s="7">
        <f t="shared" si="2"/>
        <v>39600</v>
      </c>
      <c r="H108" s="8">
        <v>0.5</v>
      </c>
      <c r="I108" s="76">
        <f t="shared" si="3"/>
        <v>19800</v>
      </c>
      <c r="J108" s="15">
        <v>105</v>
      </c>
      <c r="K108" s="15">
        <v>3</v>
      </c>
      <c r="L108" s="69"/>
      <c r="M108" s="69"/>
      <c r="N108" s="69"/>
    </row>
    <row r="109" ht="14.25" spans="1:14">
      <c r="A109" s="69"/>
      <c r="B109" s="15" t="s">
        <v>28</v>
      </c>
      <c r="C109" s="15" t="s">
        <v>143</v>
      </c>
      <c r="D109" s="15" t="s">
        <v>15</v>
      </c>
      <c r="E109" s="7">
        <f>(75200)/8</f>
        <v>9400</v>
      </c>
      <c r="F109" s="2">
        <v>2</v>
      </c>
      <c r="G109" s="7">
        <f t="shared" si="2"/>
        <v>18800</v>
      </c>
      <c r="H109" s="8">
        <v>0.5</v>
      </c>
      <c r="I109" s="76">
        <f t="shared" si="3"/>
        <v>9400</v>
      </c>
      <c r="J109" s="15">
        <v>106</v>
      </c>
      <c r="K109" s="15">
        <v>12</v>
      </c>
      <c r="L109" s="69"/>
      <c r="M109" s="69"/>
      <c r="N109" s="69"/>
    </row>
    <row r="110" ht="14.25" spans="1:14">
      <c r="A110" s="69"/>
      <c r="B110" s="15" t="s">
        <v>67</v>
      </c>
      <c r="C110" s="15" t="s">
        <v>144</v>
      </c>
      <c r="D110" s="15" t="s">
        <v>20</v>
      </c>
      <c r="E110" s="7">
        <f>12000+(12000*6%)</f>
        <v>12720</v>
      </c>
      <c r="F110" s="2">
        <v>2</v>
      </c>
      <c r="G110" s="7">
        <f t="shared" si="2"/>
        <v>25440</v>
      </c>
      <c r="H110" s="8">
        <v>0.5</v>
      </c>
      <c r="I110" s="76">
        <f t="shared" si="3"/>
        <v>12700</v>
      </c>
      <c r="J110" s="15">
        <v>107</v>
      </c>
      <c r="K110" s="15">
        <v>13</v>
      </c>
      <c r="L110" s="69"/>
      <c r="M110" s="69"/>
      <c r="N110" s="69"/>
    </row>
    <row r="111" ht="14.25" spans="1:14">
      <c r="A111" s="69"/>
      <c r="B111" s="15" t="s">
        <v>75</v>
      </c>
      <c r="C111" s="15" t="s">
        <v>145</v>
      </c>
      <c r="D111" s="15" t="s">
        <v>20</v>
      </c>
      <c r="E111" s="7">
        <f>12000+(12000*6%)</f>
        <v>12720</v>
      </c>
      <c r="F111" s="2">
        <v>2</v>
      </c>
      <c r="G111" s="7">
        <f t="shared" si="2"/>
        <v>25440</v>
      </c>
      <c r="H111" s="8">
        <v>0.5</v>
      </c>
      <c r="I111" s="76">
        <f t="shared" si="3"/>
        <v>12700</v>
      </c>
      <c r="J111" s="15">
        <v>108</v>
      </c>
      <c r="K111" s="15">
        <v>7</v>
      </c>
      <c r="L111" s="69"/>
      <c r="M111" s="69"/>
      <c r="N111" s="69"/>
    </row>
    <row r="112" ht="14.25" spans="1:14">
      <c r="A112" s="69"/>
      <c r="B112" s="15" t="s">
        <v>23</v>
      </c>
      <c r="C112" s="15" t="s">
        <v>146</v>
      </c>
      <c r="D112" s="15" t="s">
        <v>20</v>
      </c>
      <c r="E112" s="7">
        <f>12000+(12000*6%)</f>
        <v>12720</v>
      </c>
      <c r="F112" s="2">
        <v>2</v>
      </c>
      <c r="G112" s="7">
        <f t="shared" si="2"/>
        <v>25440</v>
      </c>
      <c r="H112" s="8">
        <v>0.5</v>
      </c>
      <c r="I112" s="76">
        <f t="shared" si="3"/>
        <v>12700</v>
      </c>
      <c r="J112" s="15">
        <v>109</v>
      </c>
      <c r="K112" s="15">
        <v>9</v>
      </c>
      <c r="L112" s="69"/>
      <c r="M112" s="69"/>
      <c r="N112" s="69"/>
    </row>
    <row r="113" ht="14.25" spans="1:14">
      <c r="A113" s="15"/>
      <c r="B113" s="15" t="s">
        <v>23</v>
      </c>
      <c r="C113" s="15" t="s">
        <v>147</v>
      </c>
      <c r="D113" s="15" t="s">
        <v>15</v>
      </c>
      <c r="E113" s="7">
        <f>10400</f>
        <v>10400</v>
      </c>
      <c r="F113" s="2">
        <v>2</v>
      </c>
      <c r="G113" s="7">
        <f t="shared" si="2"/>
        <v>20800</v>
      </c>
      <c r="H113" s="8">
        <v>0.5</v>
      </c>
      <c r="I113" s="76">
        <f t="shared" si="3"/>
        <v>10400</v>
      </c>
      <c r="J113" s="15">
        <v>110</v>
      </c>
      <c r="K113" s="15">
        <v>9</v>
      </c>
      <c r="L113" s="15"/>
      <c r="M113" s="15"/>
      <c r="N113" s="15"/>
    </row>
    <row r="114" ht="14.25" spans="1:14">
      <c r="A114" s="69"/>
      <c r="B114" s="15" t="s">
        <v>25</v>
      </c>
      <c r="C114" s="15" t="s">
        <v>148</v>
      </c>
      <c r="D114" s="15" t="s">
        <v>15</v>
      </c>
      <c r="E114" s="7">
        <f>(144000)/90*9</f>
        <v>14400</v>
      </c>
      <c r="F114" s="2">
        <v>2</v>
      </c>
      <c r="G114" s="7">
        <f t="shared" si="2"/>
        <v>28800</v>
      </c>
      <c r="H114" s="8">
        <v>0.5</v>
      </c>
      <c r="I114" s="76">
        <f t="shared" si="3"/>
        <v>14400</v>
      </c>
      <c r="J114" s="15">
        <v>111</v>
      </c>
      <c r="K114" s="15">
        <v>15</v>
      </c>
      <c r="L114" s="69"/>
      <c r="M114" s="69"/>
      <c r="N114" s="69"/>
    </row>
    <row r="115" ht="14.25" spans="1:14">
      <c r="A115" s="69"/>
      <c r="B115" s="15" t="s">
        <v>28</v>
      </c>
      <c r="C115" s="15" t="s">
        <v>149</v>
      </c>
      <c r="D115" s="15" t="s">
        <v>44</v>
      </c>
      <c r="E115" s="7">
        <f>50000/40*9</f>
        <v>11250</v>
      </c>
      <c r="F115" s="2">
        <v>2</v>
      </c>
      <c r="G115" s="7">
        <f t="shared" si="2"/>
        <v>22500</v>
      </c>
      <c r="H115" s="8">
        <v>0.5</v>
      </c>
      <c r="I115" s="76">
        <f t="shared" si="3"/>
        <v>11200</v>
      </c>
      <c r="J115" s="15">
        <v>112</v>
      </c>
      <c r="K115" s="15">
        <v>12</v>
      </c>
      <c r="L115" s="69"/>
      <c r="M115" s="69"/>
      <c r="N115" s="69"/>
    </row>
    <row r="116" ht="14.25" spans="1:14">
      <c r="A116" s="69"/>
      <c r="B116" s="15" t="s">
        <v>98</v>
      </c>
      <c r="C116" s="15" t="s">
        <v>150</v>
      </c>
      <c r="D116" s="15" t="s">
        <v>131</v>
      </c>
      <c r="E116" s="7">
        <f>19800</f>
        <v>19800</v>
      </c>
      <c r="F116" s="2">
        <v>2</v>
      </c>
      <c r="G116" s="7">
        <f t="shared" si="2"/>
        <v>39600</v>
      </c>
      <c r="H116" s="8">
        <v>0.5</v>
      </c>
      <c r="I116" s="76">
        <f t="shared" si="3"/>
        <v>19800</v>
      </c>
      <c r="J116" s="15">
        <v>113</v>
      </c>
      <c r="K116" s="15">
        <v>8</v>
      </c>
      <c r="L116" s="69"/>
      <c r="M116" s="69"/>
      <c r="N116" s="69"/>
    </row>
    <row r="117" ht="14.25" spans="1:14">
      <c r="A117" s="69"/>
      <c r="B117" s="15" t="s">
        <v>13</v>
      </c>
      <c r="C117" s="15" t="s">
        <v>151</v>
      </c>
      <c r="D117" s="15" t="s">
        <v>20</v>
      </c>
      <c r="E117" s="7">
        <f>12000+(12000*6%)</f>
        <v>12720</v>
      </c>
      <c r="F117" s="2">
        <v>1</v>
      </c>
      <c r="G117" s="7">
        <f t="shared" si="2"/>
        <v>12720</v>
      </c>
      <c r="H117" s="8">
        <v>0.5</v>
      </c>
      <c r="I117" s="76">
        <f t="shared" si="3"/>
        <v>6300</v>
      </c>
      <c r="J117" s="15">
        <v>114</v>
      </c>
      <c r="K117" s="15">
        <v>1</v>
      </c>
      <c r="L117" s="69"/>
      <c r="M117" s="69"/>
      <c r="N117" s="69"/>
    </row>
    <row r="118" ht="14.25" spans="1:14">
      <c r="A118" s="69"/>
      <c r="B118" s="15" t="s">
        <v>23</v>
      </c>
      <c r="C118" s="15" t="s">
        <v>152</v>
      </c>
      <c r="D118" s="15" t="s">
        <v>15</v>
      </c>
      <c r="E118" s="7">
        <f>10400</f>
        <v>10400</v>
      </c>
      <c r="F118" s="2">
        <v>2</v>
      </c>
      <c r="G118" s="7">
        <f t="shared" si="2"/>
        <v>20800</v>
      </c>
      <c r="H118" s="8">
        <v>0.5</v>
      </c>
      <c r="I118" s="76">
        <f t="shared" si="3"/>
        <v>10400</v>
      </c>
      <c r="J118" s="15">
        <v>115</v>
      </c>
      <c r="K118" s="15">
        <v>9</v>
      </c>
      <c r="L118" s="69"/>
      <c r="M118" s="69"/>
      <c r="N118" s="69"/>
    </row>
    <row r="119" ht="14.25" spans="1:14">
      <c r="A119" s="69"/>
      <c r="B119" s="15" t="s">
        <v>25</v>
      </c>
      <c r="C119" s="15" t="s">
        <v>153</v>
      </c>
      <c r="D119" s="15" t="s">
        <v>15</v>
      </c>
      <c r="E119" s="7">
        <f>10400</f>
        <v>10400</v>
      </c>
      <c r="F119" s="2">
        <v>2</v>
      </c>
      <c r="G119" s="7">
        <f t="shared" si="2"/>
        <v>20800</v>
      </c>
      <c r="H119" s="8">
        <v>0.5</v>
      </c>
      <c r="I119" s="76">
        <f t="shared" si="3"/>
        <v>10400</v>
      </c>
      <c r="J119" s="15">
        <v>116</v>
      </c>
      <c r="K119" s="15">
        <v>15</v>
      </c>
      <c r="L119" s="69"/>
      <c r="M119" s="69"/>
      <c r="N119" s="69"/>
    </row>
    <row r="120" ht="14.25" spans="1:14">
      <c r="A120" s="36"/>
      <c r="B120" s="36" t="s">
        <v>75</v>
      </c>
      <c r="C120" s="36" t="s">
        <v>154</v>
      </c>
      <c r="D120" s="36" t="s">
        <v>15</v>
      </c>
      <c r="E120" s="71">
        <v>10400</v>
      </c>
      <c r="F120" s="72">
        <v>2</v>
      </c>
      <c r="G120" s="71">
        <f t="shared" si="2"/>
        <v>20800</v>
      </c>
      <c r="H120" s="8">
        <v>0.5</v>
      </c>
      <c r="I120" s="76">
        <f t="shared" si="3"/>
        <v>10400</v>
      </c>
      <c r="J120" s="36">
        <v>117</v>
      </c>
      <c r="K120" s="36">
        <v>7</v>
      </c>
      <c r="L120" s="36" t="s">
        <v>42</v>
      </c>
      <c r="M120" s="78"/>
      <c r="N120" s="36" t="s">
        <v>155</v>
      </c>
    </row>
    <row r="121" ht="14.25" spans="1:14">
      <c r="A121" s="69"/>
      <c r="B121" s="15" t="s">
        <v>25</v>
      </c>
      <c r="C121" s="15" t="s">
        <v>156</v>
      </c>
      <c r="D121" s="15" t="s">
        <v>20</v>
      </c>
      <c r="E121" s="7">
        <f>12000+(12000*6%)</f>
        <v>12720</v>
      </c>
      <c r="F121" s="2">
        <v>1</v>
      </c>
      <c r="G121" s="7">
        <f t="shared" si="2"/>
        <v>12720</v>
      </c>
      <c r="H121" s="8">
        <v>0.5</v>
      </c>
      <c r="I121" s="76">
        <f t="shared" si="3"/>
        <v>6300</v>
      </c>
      <c r="J121" s="15">
        <v>118</v>
      </c>
      <c r="K121" s="15">
        <v>15</v>
      </c>
      <c r="L121" s="69"/>
      <c r="M121" s="69"/>
      <c r="N121" s="69"/>
    </row>
    <row r="122" ht="14.25" spans="1:14">
      <c r="A122" s="69"/>
      <c r="B122" s="15" t="s">
        <v>13</v>
      </c>
      <c r="C122" s="15" t="s">
        <v>157</v>
      </c>
      <c r="D122" s="15" t="s">
        <v>20</v>
      </c>
      <c r="E122" s="7">
        <f>12000+(12000*6%)</f>
        <v>12720</v>
      </c>
      <c r="F122" s="2">
        <v>2</v>
      </c>
      <c r="G122" s="7">
        <f t="shared" si="2"/>
        <v>25440</v>
      </c>
      <c r="H122" s="8">
        <v>0.5</v>
      </c>
      <c r="I122" s="76">
        <f t="shared" si="3"/>
        <v>12700</v>
      </c>
      <c r="J122" s="15">
        <v>119</v>
      </c>
      <c r="K122" s="15">
        <v>1</v>
      </c>
      <c r="L122" s="69"/>
      <c r="M122" s="69"/>
      <c r="N122" s="69"/>
    </row>
    <row r="123" ht="14.25" spans="1:14">
      <c r="A123" s="69"/>
      <c r="B123" s="15" t="s">
        <v>28</v>
      </c>
      <c r="C123" s="15" t="s">
        <v>158</v>
      </c>
      <c r="D123" s="15" t="s">
        <v>44</v>
      </c>
      <c r="E123" s="7">
        <f>52500/42*9</f>
        <v>11250</v>
      </c>
      <c r="F123" s="2">
        <v>2</v>
      </c>
      <c r="G123" s="7">
        <f t="shared" si="2"/>
        <v>22500</v>
      </c>
      <c r="H123" s="8">
        <v>0.5</v>
      </c>
      <c r="I123" s="76">
        <f t="shared" si="3"/>
        <v>11200</v>
      </c>
      <c r="J123" s="15">
        <v>120</v>
      </c>
      <c r="K123" s="15">
        <v>12</v>
      </c>
      <c r="L123" s="69"/>
      <c r="M123" s="69"/>
      <c r="N123" s="69"/>
    </row>
    <row r="124" ht="14.25" spans="1:14">
      <c r="A124" s="36"/>
      <c r="B124" s="36" t="s">
        <v>28</v>
      </c>
      <c r="C124" s="36" t="s">
        <v>159</v>
      </c>
      <c r="D124" s="36" t="s">
        <v>15</v>
      </c>
      <c r="E124" s="71">
        <f>(37600-0)/4</f>
        <v>9400</v>
      </c>
      <c r="F124" s="72">
        <v>2</v>
      </c>
      <c r="G124" s="71">
        <f t="shared" si="2"/>
        <v>18800</v>
      </c>
      <c r="H124" s="8">
        <v>0.5</v>
      </c>
      <c r="I124" s="76">
        <f t="shared" si="3"/>
        <v>9400</v>
      </c>
      <c r="J124" s="36">
        <v>121</v>
      </c>
      <c r="K124" s="36">
        <v>12</v>
      </c>
      <c r="L124" s="36" t="s">
        <v>160</v>
      </c>
      <c r="M124" s="36"/>
      <c r="N124" s="36"/>
    </row>
    <row r="125" ht="14.25" spans="1:14">
      <c r="A125" s="69"/>
      <c r="B125" s="15" t="s">
        <v>28</v>
      </c>
      <c r="C125" s="15" t="s">
        <v>161</v>
      </c>
      <c r="D125" s="15" t="s">
        <v>15</v>
      </c>
      <c r="E125" s="7">
        <f>(75200)/8</f>
        <v>9400</v>
      </c>
      <c r="F125" s="2">
        <v>2</v>
      </c>
      <c r="G125" s="7">
        <f t="shared" si="2"/>
        <v>18800</v>
      </c>
      <c r="H125" s="8">
        <v>0.5</v>
      </c>
      <c r="I125" s="76">
        <f t="shared" si="3"/>
        <v>9400</v>
      </c>
      <c r="J125" s="15">
        <v>122</v>
      </c>
      <c r="K125" s="15">
        <v>12</v>
      </c>
      <c r="L125" s="69"/>
      <c r="M125" s="69"/>
      <c r="N125" s="69"/>
    </row>
    <row r="126" ht="14.25" spans="1:14">
      <c r="A126" s="69"/>
      <c r="B126" s="15" t="s">
        <v>28</v>
      </c>
      <c r="C126" s="15" t="s">
        <v>162</v>
      </c>
      <c r="D126" s="15" t="s">
        <v>15</v>
      </c>
      <c r="E126" s="7">
        <f>1900*9</f>
        <v>17100</v>
      </c>
      <c r="F126" s="2">
        <v>2</v>
      </c>
      <c r="G126" s="7">
        <f t="shared" si="2"/>
        <v>34200</v>
      </c>
      <c r="H126" s="8">
        <v>0.5</v>
      </c>
      <c r="I126" s="76">
        <f t="shared" si="3"/>
        <v>17100</v>
      </c>
      <c r="J126" s="15">
        <v>123</v>
      </c>
      <c r="K126" s="15">
        <v>12</v>
      </c>
      <c r="L126" s="69"/>
      <c r="M126" s="69"/>
      <c r="N126" s="69"/>
    </row>
    <row r="127" ht="14.25" spans="1:14">
      <c r="A127" s="69"/>
      <c r="B127" s="15" t="s">
        <v>25</v>
      </c>
      <c r="C127" s="15" t="s">
        <v>163</v>
      </c>
      <c r="D127" s="15" t="s">
        <v>15</v>
      </c>
      <c r="E127" s="7">
        <f>(110544-0)/12</f>
        <v>9212</v>
      </c>
      <c r="F127" s="2">
        <v>2</v>
      </c>
      <c r="G127" s="7">
        <f t="shared" si="2"/>
        <v>18424</v>
      </c>
      <c r="H127" s="8">
        <v>0.5</v>
      </c>
      <c r="I127" s="76">
        <f t="shared" si="3"/>
        <v>9200</v>
      </c>
      <c r="J127" s="15">
        <v>124</v>
      </c>
      <c r="K127" s="15">
        <v>15</v>
      </c>
      <c r="L127" s="69"/>
      <c r="M127" s="69"/>
      <c r="N127" s="69"/>
    </row>
    <row r="128" ht="14.25" spans="1:14">
      <c r="A128" s="69"/>
      <c r="B128" s="15" t="s">
        <v>13</v>
      </c>
      <c r="C128" s="15" t="s">
        <v>164</v>
      </c>
      <c r="D128" s="15" t="s">
        <v>20</v>
      </c>
      <c r="E128" s="7">
        <f>2332*9</f>
        <v>20988</v>
      </c>
      <c r="F128" s="2">
        <v>2</v>
      </c>
      <c r="G128" s="7">
        <f t="shared" si="2"/>
        <v>41976</v>
      </c>
      <c r="H128" s="8">
        <v>0.5</v>
      </c>
      <c r="I128" s="76">
        <f t="shared" si="3"/>
        <v>20900</v>
      </c>
      <c r="J128" s="15">
        <v>125</v>
      </c>
      <c r="K128" s="15">
        <v>1</v>
      </c>
      <c r="L128" s="69"/>
      <c r="M128" s="69"/>
      <c r="N128" s="69"/>
    </row>
    <row r="129" ht="14.25" spans="1:14">
      <c r="A129" s="69"/>
      <c r="B129" s="15" t="s">
        <v>28</v>
      </c>
      <c r="C129" s="15" t="s">
        <v>94</v>
      </c>
      <c r="D129" s="15" t="s">
        <v>44</v>
      </c>
      <c r="E129" s="7">
        <f>70000/56*9</f>
        <v>11250</v>
      </c>
      <c r="F129" s="2">
        <v>2</v>
      </c>
      <c r="G129" s="7">
        <f t="shared" si="2"/>
        <v>22500</v>
      </c>
      <c r="H129" s="8">
        <v>0.5</v>
      </c>
      <c r="I129" s="76">
        <f t="shared" si="3"/>
        <v>11200</v>
      </c>
      <c r="J129" s="15">
        <v>126</v>
      </c>
      <c r="K129" s="15">
        <v>12</v>
      </c>
      <c r="L129" s="69"/>
      <c r="M129" s="69"/>
      <c r="N129" s="69"/>
    </row>
    <row r="130" ht="14.25" spans="1:14">
      <c r="A130" s="69"/>
      <c r="B130" s="15" t="s">
        <v>25</v>
      </c>
      <c r="C130" s="15" t="s">
        <v>165</v>
      </c>
      <c r="D130" s="15" t="s">
        <v>131</v>
      </c>
      <c r="E130" s="7">
        <f>19800</f>
        <v>19800</v>
      </c>
      <c r="F130" s="2">
        <v>2</v>
      </c>
      <c r="G130" s="7">
        <f t="shared" si="2"/>
        <v>39600</v>
      </c>
      <c r="H130" s="8">
        <v>0.5</v>
      </c>
      <c r="I130" s="76">
        <f t="shared" si="3"/>
        <v>19800</v>
      </c>
      <c r="J130" s="15">
        <v>127</v>
      </c>
      <c r="K130" s="15">
        <v>15</v>
      </c>
      <c r="L130" s="69"/>
      <c r="M130" s="69"/>
      <c r="N130" s="69"/>
    </row>
    <row r="131" ht="14.25" spans="1:14">
      <c r="A131" s="69"/>
      <c r="B131" s="15" t="s">
        <v>18</v>
      </c>
      <c r="C131" s="15" t="s">
        <v>166</v>
      </c>
      <c r="D131" s="15" t="s">
        <v>131</v>
      </c>
      <c r="E131" s="7">
        <f>19800</f>
        <v>19800</v>
      </c>
      <c r="F131" s="2">
        <v>2</v>
      </c>
      <c r="G131" s="7">
        <f t="shared" si="2"/>
        <v>39600</v>
      </c>
      <c r="H131" s="8">
        <v>0.5</v>
      </c>
      <c r="I131" s="76">
        <f t="shared" si="3"/>
        <v>19800</v>
      </c>
      <c r="J131" s="15">
        <v>128</v>
      </c>
      <c r="K131" s="15">
        <v>10</v>
      </c>
      <c r="L131" s="69"/>
      <c r="M131" s="69"/>
      <c r="N131" s="69"/>
    </row>
    <row r="132" ht="14.25" spans="1:14">
      <c r="A132" s="69"/>
      <c r="B132" s="15" t="s">
        <v>23</v>
      </c>
      <c r="C132" s="15" t="s">
        <v>167</v>
      </c>
      <c r="D132" s="15" t="s">
        <v>20</v>
      </c>
      <c r="E132" s="7">
        <f>2332*9</f>
        <v>20988</v>
      </c>
      <c r="F132" s="2">
        <v>2</v>
      </c>
      <c r="G132" s="7">
        <f t="shared" ref="G132:G195" si="4">E132*F132</f>
        <v>41976</v>
      </c>
      <c r="H132" s="8">
        <v>0.5</v>
      </c>
      <c r="I132" s="76">
        <f t="shared" ref="I132:I195" si="5">ROUNDDOWN(G132*H132,-2)</f>
        <v>20900</v>
      </c>
      <c r="J132" s="15">
        <v>129</v>
      </c>
      <c r="K132" s="15">
        <v>9</v>
      </c>
      <c r="L132" s="69"/>
      <c r="M132" s="69"/>
      <c r="N132" s="69"/>
    </row>
    <row r="133" ht="14.25" spans="1:14">
      <c r="A133" s="69"/>
      <c r="B133" s="15" t="s">
        <v>16</v>
      </c>
      <c r="C133" s="15" t="s">
        <v>168</v>
      </c>
      <c r="D133" s="15" t="s">
        <v>15</v>
      </c>
      <c r="E133" s="7">
        <f>(172800-0)/108*9</f>
        <v>14400</v>
      </c>
      <c r="F133" s="2">
        <v>2</v>
      </c>
      <c r="G133" s="7">
        <f t="shared" si="4"/>
        <v>28800</v>
      </c>
      <c r="H133" s="8">
        <v>0.5</v>
      </c>
      <c r="I133" s="76">
        <f t="shared" si="5"/>
        <v>14400</v>
      </c>
      <c r="J133" s="15">
        <v>130</v>
      </c>
      <c r="K133" s="15">
        <v>14</v>
      </c>
      <c r="L133" s="69"/>
      <c r="M133" s="69"/>
      <c r="N133" s="69"/>
    </row>
    <row r="134" ht="14.25" spans="1:14">
      <c r="A134" s="69"/>
      <c r="B134" s="15" t="s">
        <v>16</v>
      </c>
      <c r="C134" s="15" t="s">
        <v>169</v>
      </c>
      <c r="D134" s="15" t="s">
        <v>15</v>
      </c>
      <c r="E134" s="7">
        <f>(115200-0)/72*9</f>
        <v>14400</v>
      </c>
      <c r="F134" s="2">
        <v>2</v>
      </c>
      <c r="G134" s="7">
        <f t="shared" si="4"/>
        <v>28800</v>
      </c>
      <c r="H134" s="8">
        <v>0.5</v>
      </c>
      <c r="I134" s="76">
        <f t="shared" si="5"/>
        <v>14400</v>
      </c>
      <c r="J134" s="15">
        <v>131</v>
      </c>
      <c r="K134" s="15">
        <v>14</v>
      </c>
      <c r="L134" s="69"/>
      <c r="M134" s="69"/>
      <c r="N134" s="69"/>
    </row>
    <row r="135" ht="14.25" spans="1:14">
      <c r="A135" s="69"/>
      <c r="B135" s="15" t="s">
        <v>13</v>
      </c>
      <c r="C135" s="15" t="s">
        <v>170</v>
      </c>
      <c r="D135" s="15" t="s">
        <v>20</v>
      </c>
      <c r="E135" s="7">
        <f>12000+(12000*6%)</f>
        <v>12720</v>
      </c>
      <c r="F135" s="2">
        <v>2</v>
      </c>
      <c r="G135" s="7">
        <f t="shared" si="4"/>
        <v>25440</v>
      </c>
      <c r="H135" s="8">
        <v>0.5</v>
      </c>
      <c r="I135" s="76">
        <f t="shared" si="5"/>
        <v>12700</v>
      </c>
      <c r="J135" s="15">
        <v>132</v>
      </c>
      <c r="K135" s="15">
        <v>1</v>
      </c>
      <c r="L135" s="69"/>
      <c r="M135" s="69"/>
      <c r="N135" s="69"/>
    </row>
    <row r="136" ht="14.25" spans="1:14">
      <c r="A136" s="69"/>
      <c r="B136" s="15" t="s">
        <v>25</v>
      </c>
      <c r="C136" s="15" t="s">
        <v>171</v>
      </c>
      <c r="D136" s="70" t="s">
        <v>30</v>
      </c>
      <c r="E136" s="7">
        <f>16800</f>
        <v>16800</v>
      </c>
      <c r="F136" s="2">
        <v>1</v>
      </c>
      <c r="G136" s="7">
        <f t="shared" si="4"/>
        <v>16800</v>
      </c>
      <c r="H136" s="8">
        <v>0.5</v>
      </c>
      <c r="I136" s="76">
        <f t="shared" si="5"/>
        <v>8400</v>
      </c>
      <c r="J136" s="15">
        <v>133</v>
      </c>
      <c r="K136" s="15">
        <v>15</v>
      </c>
      <c r="L136" s="69"/>
      <c r="M136" s="69"/>
      <c r="N136" s="69"/>
    </row>
    <row r="137" ht="14.25" spans="1:14">
      <c r="A137" s="69"/>
      <c r="B137" s="15" t="s">
        <v>112</v>
      </c>
      <c r="C137" s="15" t="s">
        <v>172</v>
      </c>
      <c r="D137" s="15" t="s">
        <v>20</v>
      </c>
      <c r="E137" s="7">
        <f>12000+(12000*6%)</f>
        <v>12720</v>
      </c>
      <c r="F137" s="2">
        <v>2</v>
      </c>
      <c r="G137" s="7">
        <f t="shared" si="4"/>
        <v>25440</v>
      </c>
      <c r="H137" s="8">
        <v>0.5</v>
      </c>
      <c r="I137" s="76">
        <f t="shared" si="5"/>
        <v>12700</v>
      </c>
      <c r="J137" s="15">
        <v>134</v>
      </c>
      <c r="K137" s="15">
        <v>4</v>
      </c>
      <c r="L137" s="69"/>
      <c r="M137" s="69"/>
      <c r="N137" s="69"/>
    </row>
    <row r="138" ht="14.25" spans="1:14">
      <c r="A138" s="69"/>
      <c r="B138" s="15" t="s">
        <v>61</v>
      </c>
      <c r="C138" s="15" t="s">
        <v>173</v>
      </c>
      <c r="D138" s="15" t="s">
        <v>20</v>
      </c>
      <c r="E138" s="7">
        <f>2332*9</f>
        <v>20988</v>
      </c>
      <c r="F138" s="2">
        <v>2</v>
      </c>
      <c r="G138" s="7">
        <f t="shared" si="4"/>
        <v>41976</v>
      </c>
      <c r="H138" s="8">
        <v>0.5</v>
      </c>
      <c r="I138" s="76">
        <f t="shared" si="5"/>
        <v>20900</v>
      </c>
      <c r="J138" s="15">
        <v>135</v>
      </c>
      <c r="K138" s="15">
        <v>6</v>
      </c>
      <c r="L138" s="69"/>
      <c r="M138" s="69"/>
      <c r="N138" s="69"/>
    </row>
    <row r="139" ht="14.25" spans="1:14">
      <c r="A139" s="69"/>
      <c r="B139" s="15" t="s">
        <v>67</v>
      </c>
      <c r="C139" s="15" t="s">
        <v>174</v>
      </c>
      <c r="D139" s="15" t="s">
        <v>123</v>
      </c>
      <c r="E139" s="7">
        <v>11000</v>
      </c>
      <c r="F139" s="2">
        <v>1</v>
      </c>
      <c r="G139" s="7">
        <f t="shared" si="4"/>
        <v>11000</v>
      </c>
      <c r="H139" s="8">
        <v>0.5</v>
      </c>
      <c r="I139" s="76">
        <f t="shared" si="5"/>
        <v>5500</v>
      </c>
      <c r="J139" s="15">
        <v>136</v>
      </c>
      <c r="K139" s="15">
        <v>13</v>
      </c>
      <c r="L139" s="69"/>
      <c r="M139" s="69"/>
      <c r="N139" s="69"/>
    </row>
    <row r="140" ht="14.25" spans="1:14">
      <c r="A140" s="69"/>
      <c r="B140" s="15" t="s">
        <v>28</v>
      </c>
      <c r="C140" s="15" t="s">
        <v>175</v>
      </c>
      <c r="D140" s="15" t="s">
        <v>20</v>
      </c>
      <c r="E140" s="7">
        <f>12000+(12000*6%)</f>
        <v>12720</v>
      </c>
      <c r="F140" s="2">
        <v>2</v>
      </c>
      <c r="G140" s="7">
        <f t="shared" si="4"/>
        <v>25440</v>
      </c>
      <c r="H140" s="8">
        <v>0.5</v>
      </c>
      <c r="I140" s="76">
        <f t="shared" si="5"/>
        <v>12700</v>
      </c>
      <c r="J140" s="15">
        <v>137</v>
      </c>
      <c r="K140" s="15">
        <v>12</v>
      </c>
      <c r="L140" s="69"/>
      <c r="M140" s="69"/>
      <c r="N140" s="69"/>
    </row>
    <row r="141" ht="14.25" spans="1:14">
      <c r="A141" s="69"/>
      <c r="B141" s="15" t="s">
        <v>98</v>
      </c>
      <c r="C141" s="15" t="s">
        <v>176</v>
      </c>
      <c r="D141" s="15" t="s">
        <v>20</v>
      </c>
      <c r="E141" s="7">
        <f>12000+(12000*6%)</f>
        <v>12720</v>
      </c>
      <c r="F141" s="2">
        <v>1</v>
      </c>
      <c r="G141" s="7">
        <f t="shared" si="4"/>
        <v>12720</v>
      </c>
      <c r="H141" s="8">
        <v>0.5</v>
      </c>
      <c r="I141" s="76">
        <f t="shared" si="5"/>
        <v>6300</v>
      </c>
      <c r="J141" s="15">
        <v>138</v>
      </c>
      <c r="K141" s="15">
        <v>8</v>
      </c>
      <c r="L141" s="69"/>
      <c r="M141" s="69"/>
      <c r="N141" s="69"/>
    </row>
    <row r="142" ht="14.25" spans="1:14">
      <c r="A142" s="69"/>
      <c r="B142" s="15" t="s">
        <v>28</v>
      </c>
      <c r="C142" s="15" t="s">
        <v>177</v>
      </c>
      <c r="D142" s="15" t="s">
        <v>15</v>
      </c>
      <c r="E142" s="7">
        <f>(75200-0)/8</f>
        <v>9400</v>
      </c>
      <c r="F142" s="2">
        <v>2</v>
      </c>
      <c r="G142" s="7">
        <f t="shared" si="4"/>
        <v>18800</v>
      </c>
      <c r="H142" s="8">
        <v>0.5</v>
      </c>
      <c r="I142" s="76">
        <f t="shared" si="5"/>
        <v>9400</v>
      </c>
      <c r="J142" s="15">
        <v>139</v>
      </c>
      <c r="K142" s="15">
        <v>12</v>
      </c>
      <c r="L142" s="69"/>
      <c r="M142" s="69"/>
      <c r="N142" s="69"/>
    </row>
    <row r="143" ht="14.25" spans="1:14">
      <c r="A143" s="69"/>
      <c r="B143" s="15" t="s">
        <v>13</v>
      </c>
      <c r="C143" s="15" t="s">
        <v>178</v>
      </c>
      <c r="D143" s="15" t="s">
        <v>131</v>
      </c>
      <c r="E143" s="7">
        <f>19800</f>
        <v>19800</v>
      </c>
      <c r="F143" s="2">
        <v>2</v>
      </c>
      <c r="G143" s="7">
        <f t="shared" si="4"/>
        <v>39600</v>
      </c>
      <c r="H143" s="8">
        <v>0.5</v>
      </c>
      <c r="I143" s="76">
        <f t="shared" si="5"/>
        <v>19800</v>
      </c>
      <c r="J143" s="15">
        <v>140</v>
      </c>
      <c r="K143" s="15">
        <v>1</v>
      </c>
      <c r="L143" s="69"/>
      <c r="M143" s="69"/>
      <c r="N143" s="69"/>
    </row>
    <row r="144" ht="14.25" spans="1:14">
      <c r="A144" s="69"/>
      <c r="B144" s="15" t="s">
        <v>13</v>
      </c>
      <c r="C144" s="15" t="s">
        <v>179</v>
      </c>
      <c r="D144" s="15" t="s">
        <v>180</v>
      </c>
      <c r="E144" s="7">
        <f>54000/2</f>
        <v>27000</v>
      </c>
      <c r="F144" s="2">
        <v>2</v>
      </c>
      <c r="G144" s="7">
        <f t="shared" si="4"/>
        <v>54000</v>
      </c>
      <c r="H144" s="8">
        <v>0.5</v>
      </c>
      <c r="I144" s="76">
        <f t="shared" si="5"/>
        <v>27000</v>
      </c>
      <c r="J144" s="15">
        <v>141</v>
      </c>
      <c r="K144" s="15">
        <v>1</v>
      </c>
      <c r="L144" s="69"/>
      <c r="M144" s="69"/>
      <c r="N144" s="69"/>
    </row>
    <row r="145" ht="14.25" spans="1:14">
      <c r="A145" s="69"/>
      <c r="B145" s="15" t="s">
        <v>21</v>
      </c>
      <c r="C145" s="15" t="s">
        <v>181</v>
      </c>
      <c r="D145" s="15" t="s">
        <v>20</v>
      </c>
      <c r="E145" s="7">
        <f>12000+(12000*6%)</f>
        <v>12720</v>
      </c>
      <c r="F145" s="2">
        <v>2</v>
      </c>
      <c r="G145" s="7">
        <f t="shared" si="4"/>
        <v>25440</v>
      </c>
      <c r="H145" s="8">
        <v>0.5</v>
      </c>
      <c r="I145" s="76">
        <f t="shared" si="5"/>
        <v>12700</v>
      </c>
      <c r="J145" s="15">
        <v>142</v>
      </c>
      <c r="K145" s="15">
        <v>11</v>
      </c>
      <c r="L145" s="69"/>
      <c r="M145" s="69"/>
      <c r="N145" s="69"/>
    </row>
    <row r="146" ht="14.25" spans="1:14">
      <c r="A146" s="69"/>
      <c r="B146" s="15" t="s">
        <v>21</v>
      </c>
      <c r="C146" s="15" t="s">
        <v>182</v>
      </c>
      <c r="D146" s="15" t="s">
        <v>15</v>
      </c>
      <c r="E146" s="7">
        <f>(172800-0)/108*9</f>
        <v>14400</v>
      </c>
      <c r="F146" s="2">
        <v>2</v>
      </c>
      <c r="G146" s="7">
        <f t="shared" si="4"/>
        <v>28800</v>
      </c>
      <c r="H146" s="8">
        <v>0.5</v>
      </c>
      <c r="I146" s="76">
        <f t="shared" si="5"/>
        <v>14400</v>
      </c>
      <c r="J146" s="15">
        <v>143</v>
      </c>
      <c r="K146" s="15">
        <v>11</v>
      </c>
      <c r="L146" s="69"/>
      <c r="M146" s="69"/>
      <c r="N146" s="69"/>
    </row>
    <row r="147" ht="14.25" spans="1:14">
      <c r="A147" s="69"/>
      <c r="B147" s="15" t="s">
        <v>51</v>
      </c>
      <c r="C147" s="15" t="s">
        <v>183</v>
      </c>
      <c r="D147" s="15" t="s">
        <v>15</v>
      </c>
      <c r="E147" s="7">
        <f>10400</f>
        <v>10400</v>
      </c>
      <c r="F147" s="2">
        <v>2</v>
      </c>
      <c r="G147" s="7">
        <f t="shared" si="4"/>
        <v>20800</v>
      </c>
      <c r="H147" s="8">
        <v>0.5</v>
      </c>
      <c r="I147" s="76">
        <f t="shared" si="5"/>
        <v>10400</v>
      </c>
      <c r="J147" s="15">
        <v>144</v>
      </c>
      <c r="K147" s="15">
        <v>3</v>
      </c>
      <c r="L147" s="69"/>
      <c r="M147" s="69"/>
      <c r="N147" s="69"/>
    </row>
    <row r="148" ht="14.25" spans="1:14">
      <c r="A148" s="69"/>
      <c r="B148" s="15" t="s">
        <v>28</v>
      </c>
      <c r="C148" s="15" t="s">
        <v>184</v>
      </c>
      <c r="D148" s="15" t="s">
        <v>15</v>
      </c>
      <c r="E148" s="7">
        <f>(75200-0)/8</f>
        <v>9400</v>
      </c>
      <c r="F148" s="2">
        <v>2</v>
      </c>
      <c r="G148" s="7">
        <f t="shared" si="4"/>
        <v>18800</v>
      </c>
      <c r="H148" s="8">
        <v>0.5</v>
      </c>
      <c r="I148" s="76">
        <f t="shared" si="5"/>
        <v>9400</v>
      </c>
      <c r="J148" s="15">
        <v>145</v>
      </c>
      <c r="K148" s="15">
        <v>12</v>
      </c>
      <c r="L148" s="69"/>
      <c r="M148" s="69"/>
      <c r="N148" s="69"/>
    </row>
    <row r="149" ht="14.25" spans="1:14">
      <c r="A149" s="69"/>
      <c r="B149" s="15" t="s">
        <v>13</v>
      </c>
      <c r="C149" s="15" t="s">
        <v>185</v>
      </c>
      <c r="D149" s="15" t="s">
        <v>20</v>
      </c>
      <c r="E149" s="7">
        <f>12000*1.06</f>
        <v>12720</v>
      </c>
      <c r="F149" s="2">
        <v>2</v>
      </c>
      <c r="G149" s="7">
        <f t="shared" si="4"/>
        <v>25440</v>
      </c>
      <c r="H149" s="8">
        <v>0.5</v>
      </c>
      <c r="I149" s="76">
        <f t="shared" si="5"/>
        <v>12700</v>
      </c>
      <c r="J149" s="15">
        <v>146</v>
      </c>
      <c r="K149" s="15">
        <v>1</v>
      </c>
      <c r="L149" s="69"/>
      <c r="M149" s="69"/>
      <c r="N149" s="69"/>
    </row>
    <row r="150" ht="14.25" spans="1:14">
      <c r="A150" s="69"/>
      <c r="B150" s="15" t="s">
        <v>112</v>
      </c>
      <c r="C150" s="15" t="s">
        <v>137</v>
      </c>
      <c r="D150" s="15" t="s">
        <v>180</v>
      </c>
      <c r="E150" s="7">
        <v>27000</v>
      </c>
      <c r="F150" s="2">
        <v>2</v>
      </c>
      <c r="G150" s="7">
        <f t="shared" si="4"/>
        <v>54000</v>
      </c>
      <c r="H150" s="8">
        <v>0.5</v>
      </c>
      <c r="I150" s="76">
        <f t="shared" si="5"/>
        <v>27000</v>
      </c>
      <c r="J150" s="15">
        <v>147</v>
      </c>
      <c r="K150" s="15">
        <v>4</v>
      </c>
      <c r="L150" s="69"/>
      <c r="M150" s="69"/>
      <c r="N150" s="69"/>
    </row>
    <row r="151" ht="14.25" spans="1:14">
      <c r="A151" s="69"/>
      <c r="B151" s="15" t="s">
        <v>13</v>
      </c>
      <c r="C151" s="15" t="s">
        <v>186</v>
      </c>
      <c r="D151" s="15" t="s">
        <v>180</v>
      </c>
      <c r="E151" s="7">
        <v>27000</v>
      </c>
      <c r="F151" s="2">
        <v>1</v>
      </c>
      <c r="G151" s="7">
        <f t="shared" si="4"/>
        <v>27000</v>
      </c>
      <c r="H151" s="8">
        <v>0.5</v>
      </c>
      <c r="I151" s="76">
        <f t="shared" si="5"/>
        <v>13500</v>
      </c>
      <c r="J151" s="15">
        <v>148</v>
      </c>
      <c r="K151" s="15">
        <v>1</v>
      </c>
      <c r="L151" s="69"/>
      <c r="M151" s="69"/>
      <c r="N151" s="69"/>
    </row>
    <row r="152" ht="14.25" spans="1:14">
      <c r="A152" s="69"/>
      <c r="B152" s="15" t="s">
        <v>112</v>
      </c>
      <c r="C152" s="15" t="s">
        <v>187</v>
      </c>
      <c r="D152" s="15" t="s">
        <v>20</v>
      </c>
      <c r="E152" s="7">
        <f>12000*1.06</f>
        <v>12720</v>
      </c>
      <c r="F152" s="2">
        <v>1</v>
      </c>
      <c r="G152" s="7">
        <f t="shared" si="4"/>
        <v>12720</v>
      </c>
      <c r="H152" s="8">
        <v>0.5</v>
      </c>
      <c r="I152" s="76">
        <f t="shared" si="5"/>
        <v>6300</v>
      </c>
      <c r="J152" s="15">
        <v>149</v>
      </c>
      <c r="K152" s="15">
        <v>4</v>
      </c>
      <c r="L152" s="69"/>
      <c r="M152" s="69"/>
      <c r="N152" s="69"/>
    </row>
    <row r="153" ht="14.25" spans="1:14">
      <c r="A153" s="36"/>
      <c r="B153" s="36" t="s">
        <v>18</v>
      </c>
      <c r="C153" s="36" t="s">
        <v>188</v>
      </c>
      <c r="D153" s="36" t="s">
        <v>131</v>
      </c>
      <c r="E153" s="71">
        <v>19800</v>
      </c>
      <c r="F153" s="72">
        <v>2</v>
      </c>
      <c r="G153" s="71">
        <f t="shared" si="4"/>
        <v>39600</v>
      </c>
      <c r="H153" s="8">
        <v>0.5</v>
      </c>
      <c r="I153" s="76">
        <f t="shared" si="5"/>
        <v>19800</v>
      </c>
      <c r="J153" s="36">
        <v>150</v>
      </c>
      <c r="K153" s="15">
        <v>10</v>
      </c>
      <c r="L153" s="36" t="s">
        <v>189</v>
      </c>
      <c r="M153" s="78"/>
      <c r="N153" s="36"/>
    </row>
    <row r="154" ht="14.25" spans="1:14">
      <c r="A154" s="69"/>
      <c r="B154" s="15" t="s">
        <v>18</v>
      </c>
      <c r="C154" s="15" t="s">
        <v>190</v>
      </c>
      <c r="D154" s="15" t="s">
        <v>180</v>
      </c>
      <c r="E154" s="7">
        <v>27000</v>
      </c>
      <c r="F154" s="2">
        <v>2</v>
      </c>
      <c r="G154" s="7">
        <f t="shared" si="4"/>
        <v>54000</v>
      </c>
      <c r="H154" s="8">
        <v>0.5</v>
      </c>
      <c r="I154" s="76">
        <f t="shared" si="5"/>
        <v>27000</v>
      </c>
      <c r="J154" s="15">
        <v>151</v>
      </c>
      <c r="K154" s="15">
        <v>10</v>
      </c>
      <c r="L154" s="69"/>
      <c r="M154" s="69"/>
      <c r="N154" s="69"/>
    </row>
    <row r="155" ht="14.25" spans="1:14">
      <c r="A155" s="69"/>
      <c r="B155" s="15" t="s">
        <v>18</v>
      </c>
      <c r="C155" s="15" t="s">
        <v>166</v>
      </c>
      <c r="D155" s="15" t="s">
        <v>180</v>
      </c>
      <c r="E155" s="7">
        <v>27000</v>
      </c>
      <c r="F155" s="2">
        <v>2</v>
      </c>
      <c r="G155" s="7">
        <f t="shared" si="4"/>
        <v>54000</v>
      </c>
      <c r="H155" s="8">
        <v>0.5</v>
      </c>
      <c r="I155" s="76">
        <f t="shared" si="5"/>
        <v>27000</v>
      </c>
      <c r="J155" s="15">
        <v>152</v>
      </c>
      <c r="K155" s="15">
        <v>10</v>
      </c>
      <c r="L155" s="69"/>
      <c r="M155" s="69"/>
      <c r="N155" s="69"/>
    </row>
    <row r="156" ht="14.25" spans="1:14">
      <c r="A156" s="69"/>
      <c r="B156" s="15" t="s">
        <v>23</v>
      </c>
      <c r="C156" s="15" t="s">
        <v>191</v>
      </c>
      <c r="D156" s="15" t="s">
        <v>131</v>
      </c>
      <c r="E156" s="7">
        <v>19800</v>
      </c>
      <c r="F156" s="2">
        <v>2</v>
      </c>
      <c r="G156" s="7">
        <f t="shared" si="4"/>
        <v>39600</v>
      </c>
      <c r="H156" s="8">
        <v>0.5</v>
      </c>
      <c r="I156" s="76">
        <f t="shared" si="5"/>
        <v>19800</v>
      </c>
      <c r="J156" s="15">
        <v>153</v>
      </c>
      <c r="K156" s="15">
        <v>9</v>
      </c>
      <c r="L156" s="69"/>
      <c r="M156" s="69"/>
      <c r="N156" s="69"/>
    </row>
    <row r="157" ht="14.25" spans="1:14">
      <c r="A157" s="69"/>
      <c r="B157" s="15" t="s">
        <v>23</v>
      </c>
      <c r="C157" s="15" t="s">
        <v>191</v>
      </c>
      <c r="D157" s="15" t="s">
        <v>180</v>
      </c>
      <c r="E157" s="7">
        <v>27000</v>
      </c>
      <c r="F157" s="2">
        <v>2</v>
      </c>
      <c r="G157" s="7">
        <f t="shared" si="4"/>
        <v>54000</v>
      </c>
      <c r="H157" s="8">
        <v>0.5</v>
      </c>
      <c r="I157" s="76">
        <f t="shared" si="5"/>
        <v>27000</v>
      </c>
      <c r="J157" s="15">
        <v>154</v>
      </c>
      <c r="K157" s="15">
        <v>9</v>
      </c>
      <c r="L157" s="69"/>
      <c r="M157" s="69"/>
      <c r="N157" s="69"/>
    </row>
    <row r="158" ht="14.25" spans="1:14">
      <c r="A158" s="69"/>
      <c r="B158" s="15" t="s">
        <v>23</v>
      </c>
      <c r="C158" s="15" t="s">
        <v>192</v>
      </c>
      <c r="D158" s="15" t="s">
        <v>123</v>
      </c>
      <c r="E158" s="7">
        <f>ROUND(19200/2,0)</f>
        <v>9600</v>
      </c>
      <c r="F158" s="2">
        <v>2</v>
      </c>
      <c r="G158" s="7">
        <f t="shared" si="4"/>
        <v>19200</v>
      </c>
      <c r="H158" s="8">
        <v>0.5</v>
      </c>
      <c r="I158" s="76">
        <f t="shared" si="5"/>
        <v>9600</v>
      </c>
      <c r="J158" s="15">
        <v>155</v>
      </c>
      <c r="K158" s="15">
        <v>9</v>
      </c>
      <c r="L158" s="69"/>
      <c r="M158" s="69"/>
      <c r="N158" s="69"/>
    </row>
    <row r="159" ht="14.25" spans="1:14">
      <c r="A159" s="69"/>
      <c r="B159" s="15" t="s">
        <v>28</v>
      </c>
      <c r="C159" s="15" t="s">
        <v>193</v>
      </c>
      <c r="D159" s="15" t="s">
        <v>15</v>
      </c>
      <c r="E159" s="7">
        <f>(51000-0)/6</f>
        <v>8500</v>
      </c>
      <c r="F159" s="2">
        <v>2</v>
      </c>
      <c r="G159" s="7">
        <f t="shared" si="4"/>
        <v>17000</v>
      </c>
      <c r="H159" s="8">
        <v>0.5</v>
      </c>
      <c r="I159" s="76">
        <f t="shared" si="5"/>
        <v>8500</v>
      </c>
      <c r="J159" s="15">
        <v>156</v>
      </c>
      <c r="K159" s="15">
        <v>12</v>
      </c>
      <c r="L159" s="69"/>
      <c r="M159" s="69"/>
      <c r="N159" s="69"/>
    </row>
    <row r="160" ht="14.25" spans="1:14">
      <c r="A160" s="69"/>
      <c r="B160" s="15" t="s">
        <v>13</v>
      </c>
      <c r="C160" s="15" t="s">
        <v>194</v>
      </c>
      <c r="D160" s="15" t="s">
        <v>20</v>
      </c>
      <c r="E160" s="7">
        <f>2332*9</f>
        <v>20988</v>
      </c>
      <c r="F160" s="2">
        <v>2</v>
      </c>
      <c r="G160" s="7">
        <f t="shared" si="4"/>
        <v>41976</v>
      </c>
      <c r="H160" s="8">
        <v>0.5</v>
      </c>
      <c r="I160" s="76">
        <f t="shared" si="5"/>
        <v>20900</v>
      </c>
      <c r="J160" s="15">
        <v>157</v>
      </c>
      <c r="K160" s="15">
        <v>1</v>
      </c>
      <c r="L160" s="69"/>
      <c r="M160" s="69"/>
      <c r="N160" s="69"/>
    </row>
    <row r="161" ht="14.25" spans="1:14">
      <c r="A161" s="69"/>
      <c r="B161" s="15" t="s">
        <v>21</v>
      </c>
      <c r="C161" s="15" t="s">
        <v>195</v>
      </c>
      <c r="D161" s="15" t="s">
        <v>15</v>
      </c>
      <c r="E161" s="7">
        <f>(172800-0)/108*9</f>
        <v>14400</v>
      </c>
      <c r="F161" s="2">
        <v>2</v>
      </c>
      <c r="G161" s="7">
        <f t="shared" si="4"/>
        <v>28800</v>
      </c>
      <c r="H161" s="8">
        <v>0.5</v>
      </c>
      <c r="I161" s="76">
        <f t="shared" si="5"/>
        <v>14400</v>
      </c>
      <c r="J161" s="15">
        <v>158</v>
      </c>
      <c r="K161" s="15">
        <v>11</v>
      </c>
      <c r="L161" s="69"/>
      <c r="M161" s="69"/>
      <c r="N161" s="69"/>
    </row>
    <row r="162" ht="14.25" spans="1:14">
      <c r="A162" s="36"/>
      <c r="B162" s="36" t="s">
        <v>21</v>
      </c>
      <c r="C162" s="36" t="s">
        <v>196</v>
      </c>
      <c r="D162" s="36" t="s">
        <v>15</v>
      </c>
      <c r="E162" s="71">
        <v>9400</v>
      </c>
      <c r="F162" s="72">
        <v>2</v>
      </c>
      <c r="G162" s="71">
        <f t="shared" si="4"/>
        <v>18800</v>
      </c>
      <c r="H162" s="80">
        <v>0.5</v>
      </c>
      <c r="I162" s="81">
        <f t="shared" si="5"/>
        <v>9400</v>
      </c>
      <c r="J162" s="36">
        <v>159</v>
      </c>
      <c r="K162" s="36">
        <v>11</v>
      </c>
      <c r="L162" s="36" t="s">
        <v>42</v>
      </c>
      <c r="M162" s="78"/>
      <c r="N162" s="36"/>
    </row>
    <row r="163" ht="14.25" spans="1:14">
      <c r="A163" s="69"/>
      <c r="B163" s="15" t="s">
        <v>112</v>
      </c>
      <c r="C163" s="15" t="s">
        <v>197</v>
      </c>
      <c r="D163" s="15" t="s">
        <v>15</v>
      </c>
      <c r="E163" s="7">
        <f>(40768-0)/4</f>
        <v>10192</v>
      </c>
      <c r="F163" s="2">
        <v>2</v>
      </c>
      <c r="G163" s="7">
        <f t="shared" si="4"/>
        <v>20384</v>
      </c>
      <c r="H163" s="8">
        <v>0.5</v>
      </c>
      <c r="I163" s="76">
        <f t="shared" si="5"/>
        <v>10100</v>
      </c>
      <c r="J163" s="15">
        <v>160</v>
      </c>
      <c r="K163" s="15">
        <v>4</v>
      </c>
      <c r="L163" s="69"/>
      <c r="M163" s="69"/>
      <c r="N163" s="69"/>
    </row>
    <row r="164" ht="14.25" spans="1:14">
      <c r="A164" s="69"/>
      <c r="B164" s="15" t="s">
        <v>28</v>
      </c>
      <c r="C164" s="15" t="s">
        <v>198</v>
      </c>
      <c r="D164" s="15" t="s">
        <v>44</v>
      </c>
      <c r="E164" s="7">
        <f>1422.22*9</f>
        <v>12799.98</v>
      </c>
      <c r="F164" s="2">
        <v>2</v>
      </c>
      <c r="G164" s="7">
        <f t="shared" si="4"/>
        <v>25599.96</v>
      </c>
      <c r="H164" s="8">
        <v>0.5</v>
      </c>
      <c r="I164" s="76">
        <f t="shared" si="5"/>
        <v>12700</v>
      </c>
      <c r="J164" s="15">
        <v>161</v>
      </c>
      <c r="K164" s="15">
        <v>12</v>
      </c>
      <c r="L164" s="69"/>
      <c r="M164" s="69"/>
      <c r="N164" s="69"/>
    </row>
    <row r="165" ht="14.25" spans="1:14">
      <c r="A165" s="69"/>
      <c r="B165" s="15" t="s">
        <v>28</v>
      </c>
      <c r="C165" s="15" t="s">
        <v>199</v>
      </c>
      <c r="D165" s="15" t="s">
        <v>44</v>
      </c>
      <c r="E165" s="7">
        <f>1333.33*9</f>
        <v>11999.97</v>
      </c>
      <c r="F165" s="2">
        <v>2</v>
      </c>
      <c r="G165" s="7">
        <f t="shared" si="4"/>
        <v>23999.94</v>
      </c>
      <c r="H165" s="8">
        <v>0.5</v>
      </c>
      <c r="I165" s="76">
        <f t="shared" si="5"/>
        <v>11900</v>
      </c>
      <c r="J165" s="15">
        <v>162</v>
      </c>
      <c r="K165" s="15">
        <v>12</v>
      </c>
      <c r="L165" s="69"/>
      <c r="M165" s="69"/>
      <c r="N165" s="69"/>
    </row>
    <row r="166" ht="14.25" spans="1:14">
      <c r="A166" s="15"/>
      <c r="B166" s="15" t="s">
        <v>28</v>
      </c>
      <c r="C166" s="79" t="s">
        <v>200</v>
      </c>
      <c r="D166" s="15" t="s">
        <v>44</v>
      </c>
      <c r="E166" s="7">
        <f>1333.33*9</f>
        <v>11999.97</v>
      </c>
      <c r="F166" s="2">
        <v>2</v>
      </c>
      <c r="G166" s="7">
        <f t="shared" si="4"/>
        <v>23999.94</v>
      </c>
      <c r="H166" s="8">
        <v>0.5</v>
      </c>
      <c r="I166" s="76">
        <f t="shared" si="5"/>
        <v>11900</v>
      </c>
      <c r="J166" s="15">
        <v>163</v>
      </c>
      <c r="K166" s="15">
        <v>12</v>
      </c>
      <c r="L166" s="15"/>
      <c r="M166" s="15"/>
      <c r="N166" s="15"/>
    </row>
    <row r="167" ht="14.25" spans="1:14">
      <c r="A167" s="69"/>
      <c r="B167" s="15" t="s">
        <v>28</v>
      </c>
      <c r="C167" s="15" t="s">
        <v>201</v>
      </c>
      <c r="D167" s="15" t="s">
        <v>44</v>
      </c>
      <c r="E167" s="7">
        <f>1422.22*9</f>
        <v>12799.98</v>
      </c>
      <c r="F167" s="2">
        <v>1</v>
      </c>
      <c r="G167" s="7">
        <f t="shared" si="4"/>
        <v>12799.98</v>
      </c>
      <c r="H167" s="8">
        <v>0.5</v>
      </c>
      <c r="I167" s="76">
        <f t="shared" si="5"/>
        <v>6300</v>
      </c>
      <c r="J167" s="15">
        <v>164</v>
      </c>
      <c r="K167" s="15">
        <v>12</v>
      </c>
      <c r="L167" s="69"/>
      <c r="M167" s="69"/>
      <c r="N167" s="69"/>
    </row>
    <row r="168" ht="14.25" spans="1:14">
      <c r="A168" s="69"/>
      <c r="B168" s="15" t="s">
        <v>28</v>
      </c>
      <c r="C168" s="15" t="s">
        <v>202</v>
      </c>
      <c r="D168" s="15" t="s">
        <v>44</v>
      </c>
      <c r="E168" s="7">
        <f t="shared" ref="E168:E177" si="6">1333.33*9</f>
        <v>11999.97</v>
      </c>
      <c r="F168" s="2">
        <v>2</v>
      </c>
      <c r="G168" s="7">
        <f t="shared" si="4"/>
        <v>23999.94</v>
      </c>
      <c r="H168" s="8">
        <v>0.5</v>
      </c>
      <c r="I168" s="76">
        <f t="shared" si="5"/>
        <v>11900</v>
      </c>
      <c r="J168" s="15">
        <v>165</v>
      </c>
      <c r="K168" s="15">
        <v>12</v>
      </c>
      <c r="L168" s="69"/>
      <c r="M168" s="69"/>
      <c r="N168" s="69"/>
    </row>
    <row r="169" ht="14.25" spans="1:14">
      <c r="A169" s="69"/>
      <c r="B169" s="15" t="s">
        <v>28</v>
      </c>
      <c r="C169" s="15" t="s">
        <v>203</v>
      </c>
      <c r="D169" s="15" t="s">
        <v>44</v>
      </c>
      <c r="E169" s="7">
        <f t="shared" si="6"/>
        <v>11999.97</v>
      </c>
      <c r="F169" s="2">
        <v>2</v>
      </c>
      <c r="G169" s="7">
        <f t="shared" si="4"/>
        <v>23999.94</v>
      </c>
      <c r="H169" s="8">
        <v>0.5</v>
      </c>
      <c r="I169" s="76">
        <f t="shared" si="5"/>
        <v>11900</v>
      </c>
      <c r="J169" s="15">
        <v>166</v>
      </c>
      <c r="K169" s="15">
        <v>12</v>
      </c>
      <c r="L169" s="69"/>
      <c r="M169" s="69"/>
      <c r="N169" s="69"/>
    </row>
    <row r="170" ht="14.25" spans="1:14">
      <c r="A170" s="69"/>
      <c r="B170" s="15" t="s">
        <v>28</v>
      </c>
      <c r="C170" s="15" t="s">
        <v>204</v>
      </c>
      <c r="D170" s="15" t="s">
        <v>44</v>
      </c>
      <c r="E170" s="7">
        <f t="shared" si="6"/>
        <v>11999.97</v>
      </c>
      <c r="F170" s="2">
        <v>2</v>
      </c>
      <c r="G170" s="7">
        <f t="shared" si="4"/>
        <v>23999.94</v>
      </c>
      <c r="H170" s="8">
        <v>0.5</v>
      </c>
      <c r="I170" s="76">
        <f t="shared" si="5"/>
        <v>11900</v>
      </c>
      <c r="J170" s="15">
        <v>167</v>
      </c>
      <c r="K170" s="15">
        <v>12</v>
      </c>
      <c r="L170" s="69"/>
      <c r="M170" s="69"/>
      <c r="N170" s="69"/>
    </row>
    <row r="171" ht="14.25" spans="1:14">
      <c r="A171" s="69"/>
      <c r="B171" s="15" t="s">
        <v>28</v>
      </c>
      <c r="C171" s="15" t="s">
        <v>205</v>
      </c>
      <c r="D171" s="15" t="s">
        <v>44</v>
      </c>
      <c r="E171" s="7">
        <f t="shared" si="6"/>
        <v>11999.97</v>
      </c>
      <c r="F171" s="2">
        <v>2</v>
      </c>
      <c r="G171" s="7">
        <f t="shared" si="4"/>
        <v>23999.94</v>
      </c>
      <c r="H171" s="8">
        <v>0.5</v>
      </c>
      <c r="I171" s="76">
        <f t="shared" si="5"/>
        <v>11900</v>
      </c>
      <c r="J171" s="15">
        <v>168</v>
      </c>
      <c r="K171" s="15">
        <v>12</v>
      </c>
      <c r="L171" s="69"/>
      <c r="M171" s="69"/>
      <c r="N171" s="69"/>
    </row>
    <row r="172" ht="14.25" spans="1:14">
      <c r="A172" s="69"/>
      <c r="B172" s="15" t="s">
        <v>28</v>
      </c>
      <c r="C172" s="15" t="s">
        <v>206</v>
      </c>
      <c r="D172" s="15" t="s">
        <v>44</v>
      </c>
      <c r="E172" s="7">
        <f t="shared" si="6"/>
        <v>11999.97</v>
      </c>
      <c r="F172" s="2">
        <v>2</v>
      </c>
      <c r="G172" s="7">
        <f t="shared" si="4"/>
        <v>23999.94</v>
      </c>
      <c r="H172" s="8">
        <v>0.5</v>
      </c>
      <c r="I172" s="76">
        <f t="shared" si="5"/>
        <v>11900</v>
      </c>
      <c r="J172" s="15">
        <v>169</v>
      </c>
      <c r="K172" s="15">
        <v>12</v>
      </c>
      <c r="L172" s="69"/>
      <c r="M172" s="69"/>
      <c r="N172" s="69"/>
    </row>
    <row r="173" ht="14.25" spans="1:14">
      <c r="A173" s="69"/>
      <c r="B173" s="15" t="s">
        <v>28</v>
      </c>
      <c r="C173" s="15" t="s">
        <v>207</v>
      </c>
      <c r="D173" s="15" t="s">
        <v>44</v>
      </c>
      <c r="E173" s="7">
        <f t="shared" si="6"/>
        <v>11999.97</v>
      </c>
      <c r="F173" s="2">
        <v>2</v>
      </c>
      <c r="G173" s="7">
        <f t="shared" si="4"/>
        <v>23999.94</v>
      </c>
      <c r="H173" s="8">
        <v>0.5</v>
      </c>
      <c r="I173" s="76">
        <f t="shared" si="5"/>
        <v>11900</v>
      </c>
      <c r="J173" s="15">
        <v>170</v>
      </c>
      <c r="K173" s="15">
        <v>12</v>
      </c>
      <c r="L173" s="69"/>
      <c r="M173" s="69"/>
      <c r="N173" s="69"/>
    </row>
    <row r="174" ht="14.25" spans="1:14">
      <c r="A174" s="69"/>
      <c r="B174" s="15" t="s">
        <v>28</v>
      </c>
      <c r="C174" s="15" t="s">
        <v>208</v>
      </c>
      <c r="D174" s="15" t="s">
        <v>44</v>
      </c>
      <c r="E174" s="7">
        <f t="shared" si="6"/>
        <v>11999.97</v>
      </c>
      <c r="F174" s="2">
        <v>2</v>
      </c>
      <c r="G174" s="7">
        <f t="shared" si="4"/>
        <v>23999.94</v>
      </c>
      <c r="H174" s="8">
        <v>0.5</v>
      </c>
      <c r="I174" s="76">
        <f t="shared" si="5"/>
        <v>11900</v>
      </c>
      <c r="J174" s="15">
        <v>171</v>
      </c>
      <c r="K174" s="15">
        <v>12</v>
      </c>
      <c r="L174" s="69"/>
      <c r="M174" s="69"/>
      <c r="N174" s="69"/>
    </row>
    <row r="175" ht="14.25" spans="1:14">
      <c r="A175" s="69"/>
      <c r="B175" s="15" t="s">
        <v>28</v>
      </c>
      <c r="C175" s="15" t="s">
        <v>209</v>
      </c>
      <c r="D175" s="15" t="s">
        <v>44</v>
      </c>
      <c r="E175" s="7">
        <f t="shared" si="6"/>
        <v>11999.97</v>
      </c>
      <c r="F175" s="2">
        <v>2</v>
      </c>
      <c r="G175" s="7">
        <f t="shared" si="4"/>
        <v>23999.94</v>
      </c>
      <c r="H175" s="8">
        <v>0.5</v>
      </c>
      <c r="I175" s="76">
        <f t="shared" si="5"/>
        <v>11900</v>
      </c>
      <c r="J175" s="15">
        <v>172</v>
      </c>
      <c r="K175" s="15">
        <v>12</v>
      </c>
      <c r="L175" s="69"/>
      <c r="M175" s="69"/>
      <c r="N175" s="69"/>
    </row>
    <row r="176" ht="14.25" spans="1:14">
      <c r="A176" s="69"/>
      <c r="B176" s="15" t="s">
        <v>28</v>
      </c>
      <c r="C176" s="15" t="s">
        <v>210</v>
      </c>
      <c r="D176" s="15" t="s">
        <v>44</v>
      </c>
      <c r="E176" s="7">
        <f t="shared" si="6"/>
        <v>11999.97</v>
      </c>
      <c r="F176" s="2">
        <v>2</v>
      </c>
      <c r="G176" s="7">
        <f t="shared" si="4"/>
        <v>23999.94</v>
      </c>
      <c r="H176" s="8">
        <v>0.5</v>
      </c>
      <c r="I176" s="76">
        <f t="shared" si="5"/>
        <v>11900</v>
      </c>
      <c r="J176" s="15">
        <v>173</v>
      </c>
      <c r="K176" s="15">
        <v>12</v>
      </c>
      <c r="L176" s="69"/>
      <c r="M176" s="69"/>
      <c r="N176" s="69"/>
    </row>
    <row r="177" ht="14.25" spans="1:14">
      <c r="A177" s="69"/>
      <c r="B177" s="15" t="s">
        <v>28</v>
      </c>
      <c r="C177" s="15" t="s">
        <v>211</v>
      </c>
      <c r="D177" s="15" t="s">
        <v>44</v>
      </c>
      <c r="E177" s="7">
        <f t="shared" si="6"/>
        <v>11999.97</v>
      </c>
      <c r="F177" s="2">
        <v>2</v>
      </c>
      <c r="G177" s="7">
        <f t="shared" si="4"/>
        <v>23999.94</v>
      </c>
      <c r="H177" s="8">
        <v>0.5</v>
      </c>
      <c r="I177" s="76">
        <f t="shared" si="5"/>
        <v>11900</v>
      </c>
      <c r="J177" s="15">
        <v>174</v>
      </c>
      <c r="K177" s="15">
        <v>12</v>
      </c>
      <c r="L177" s="69"/>
      <c r="M177" s="69"/>
      <c r="N177" s="69"/>
    </row>
    <row r="178" ht="14.25" spans="1:14">
      <c r="A178" s="69"/>
      <c r="B178" s="15" t="s">
        <v>28</v>
      </c>
      <c r="C178" s="15" t="s">
        <v>212</v>
      </c>
      <c r="D178" s="15" t="s">
        <v>44</v>
      </c>
      <c r="E178" s="7">
        <f>1422.22*9</f>
        <v>12799.98</v>
      </c>
      <c r="F178" s="2">
        <v>1</v>
      </c>
      <c r="G178" s="7">
        <f t="shared" si="4"/>
        <v>12799.98</v>
      </c>
      <c r="H178" s="8">
        <v>0.5</v>
      </c>
      <c r="I178" s="76">
        <f t="shared" si="5"/>
        <v>6300</v>
      </c>
      <c r="J178" s="15">
        <v>175</v>
      </c>
      <c r="K178" s="15">
        <v>12</v>
      </c>
      <c r="L178" s="69"/>
      <c r="M178" s="69"/>
      <c r="N178" s="69"/>
    </row>
    <row r="179" ht="14.25" spans="1:14">
      <c r="A179" s="69"/>
      <c r="B179" s="15" t="s">
        <v>28</v>
      </c>
      <c r="C179" s="15" t="s">
        <v>213</v>
      </c>
      <c r="D179" s="15" t="s">
        <v>44</v>
      </c>
      <c r="E179" s="7">
        <f>1422.22*9</f>
        <v>12799.98</v>
      </c>
      <c r="F179" s="2">
        <v>1</v>
      </c>
      <c r="G179" s="7">
        <f t="shared" si="4"/>
        <v>12799.98</v>
      </c>
      <c r="H179" s="8">
        <v>0.5</v>
      </c>
      <c r="I179" s="76">
        <f t="shared" si="5"/>
        <v>6300</v>
      </c>
      <c r="J179" s="15">
        <v>176</v>
      </c>
      <c r="K179" s="15">
        <v>12</v>
      </c>
      <c r="L179" s="15" t="s">
        <v>214</v>
      </c>
      <c r="M179" s="69"/>
      <c r="N179" s="69"/>
    </row>
    <row r="180" ht="14.25" spans="1:14">
      <c r="A180" s="69"/>
      <c r="B180" s="15" t="s">
        <v>28</v>
      </c>
      <c r="C180" s="15" t="s">
        <v>215</v>
      </c>
      <c r="D180" s="15" t="s">
        <v>44</v>
      </c>
      <c r="E180" s="7">
        <f>1333.33*9</f>
        <v>11999.97</v>
      </c>
      <c r="F180" s="2">
        <v>2</v>
      </c>
      <c r="G180" s="7">
        <f t="shared" si="4"/>
        <v>23999.94</v>
      </c>
      <c r="H180" s="8">
        <v>0.5</v>
      </c>
      <c r="I180" s="76">
        <f t="shared" si="5"/>
        <v>11900</v>
      </c>
      <c r="J180" s="15">
        <v>177</v>
      </c>
      <c r="K180" s="15">
        <v>12</v>
      </c>
      <c r="L180" s="69"/>
      <c r="M180" s="69"/>
      <c r="N180" s="69"/>
    </row>
    <row r="181" ht="14.25" spans="1:14">
      <c r="A181" s="69"/>
      <c r="B181" s="15" t="s">
        <v>28</v>
      </c>
      <c r="C181" s="15" t="s">
        <v>216</v>
      </c>
      <c r="D181" s="15" t="s">
        <v>44</v>
      </c>
      <c r="E181" s="7">
        <f>1333.33*9</f>
        <v>11999.97</v>
      </c>
      <c r="F181" s="2">
        <v>2</v>
      </c>
      <c r="G181" s="7">
        <f t="shared" si="4"/>
        <v>23999.94</v>
      </c>
      <c r="H181" s="8">
        <v>0.5</v>
      </c>
      <c r="I181" s="76">
        <f t="shared" si="5"/>
        <v>11900</v>
      </c>
      <c r="J181" s="15">
        <v>178</v>
      </c>
      <c r="K181" s="15">
        <v>12</v>
      </c>
      <c r="L181" s="69"/>
      <c r="M181" s="69"/>
      <c r="N181" s="69"/>
    </row>
    <row r="182" ht="14.25" spans="1:14">
      <c r="A182" s="69"/>
      <c r="B182" s="15" t="s">
        <v>28</v>
      </c>
      <c r="C182" s="15" t="s">
        <v>217</v>
      </c>
      <c r="D182" s="15" t="s">
        <v>44</v>
      </c>
      <c r="E182" s="7">
        <f>47999.88/36*9</f>
        <v>11999.97</v>
      </c>
      <c r="F182" s="2">
        <v>2</v>
      </c>
      <c r="G182" s="7">
        <f t="shared" si="4"/>
        <v>23999.94</v>
      </c>
      <c r="H182" s="8">
        <v>0.5</v>
      </c>
      <c r="I182" s="76">
        <f t="shared" si="5"/>
        <v>11900</v>
      </c>
      <c r="J182" s="15">
        <v>179</v>
      </c>
      <c r="K182" s="15">
        <v>12</v>
      </c>
      <c r="L182" s="69"/>
      <c r="M182" s="69"/>
      <c r="N182" s="69"/>
    </row>
    <row r="183" ht="14.25" spans="1:14">
      <c r="A183" s="69"/>
      <c r="B183" s="15" t="s">
        <v>13</v>
      </c>
      <c r="C183" s="15" t="s">
        <v>218</v>
      </c>
      <c r="D183" s="15" t="s">
        <v>20</v>
      </c>
      <c r="E183" s="7">
        <v>12720</v>
      </c>
      <c r="F183" s="2">
        <v>2</v>
      </c>
      <c r="G183" s="7">
        <f t="shared" si="4"/>
        <v>25440</v>
      </c>
      <c r="H183" s="8">
        <v>0.5</v>
      </c>
      <c r="I183" s="76">
        <f t="shared" si="5"/>
        <v>12700</v>
      </c>
      <c r="J183" s="15">
        <v>180</v>
      </c>
      <c r="K183" s="15">
        <v>1</v>
      </c>
      <c r="L183" s="69"/>
      <c r="M183" s="69"/>
      <c r="N183" s="69"/>
    </row>
    <row r="184" ht="14.25" spans="1:14">
      <c r="A184" s="69"/>
      <c r="B184" s="15" t="s">
        <v>18</v>
      </c>
      <c r="C184" s="15" t="s">
        <v>219</v>
      </c>
      <c r="D184" s="15" t="s">
        <v>180</v>
      </c>
      <c r="E184" s="7">
        <v>27000</v>
      </c>
      <c r="F184" s="2">
        <v>2</v>
      </c>
      <c r="G184" s="7">
        <f t="shared" si="4"/>
        <v>54000</v>
      </c>
      <c r="H184" s="8">
        <v>0.5</v>
      </c>
      <c r="I184" s="76">
        <f t="shared" si="5"/>
        <v>27000</v>
      </c>
      <c r="J184" s="15">
        <v>181</v>
      </c>
      <c r="K184" s="15">
        <v>10</v>
      </c>
      <c r="L184" s="69"/>
      <c r="M184" s="69"/>
      <c r="N184" s="69"/>
    </row>
    <row r="185" ht="14.25" spans="1:14">
      <c r="A185" s="69"/>
      <c r="B185" s="15" t="s">
        <v>18</v>
      </c>
      <c r="C185" s="15" t="s">
        <v>220</v>
      </c>
      <c r="D185" s="15" t="s">
        <v>131</v>
      </c>
      <c r="E185" s="7">
        <v>19800</v>
      </c>
      <c r="F185" s="2">
        <v>2</v>
      </c>
      <c r="G185" s="7">
        <f t="shared" si="4"/>
        <v>39600</v>
      </c>
      <c r="H185" s="8">
        <v>0.5</v>
      </c>
      <c r="I185" s="76">
        <f t="shared" si="5"/>
        <v>19800</v>
      </c>
      <c r="J185" s="15">
        <v>182</v>
      </c>
      <c r="K185" s="15">
        <v>10</v>
      </c>
      <c r="L185" s="69"/>
      <c r="M185" s="69"/>
      <c r="N185" s="69"/>
    </row>
    <row r="186" ht="14.25" spans="1:14">
      <c r="A186" s="69"/>
      <c r="B186" s="15" t="s">
        <v>23</v>
      </c>
      <c r="C186" s="15" t="s">
        <v>221</v>
      </c>
      <c r="D186" s="15" t="s">
        <v>180</v>
      </c>
      <c r="E186" s="7">
        <v>27000</v>
      </c>
      <c r="F186" s="2">
        <v>2</v>
      </c>
      <c r="G186" s="7">
        <f t="shared" si="4"/>
        <v>54000</v>
      </c>
      <c r="H186" s="8">
        <v>0.5</v>
      </c>
      <c r="I186" s="76">
        <f t="shared" si="5"/>
        <v>27000</v>
      </c>
      <c r="J186" s="15">
        <v>183</v>
      </c>
      <c r="K186" s="15">
        <v>9</v>
      </c>
      <c r="L186" s="69"/>
      <c r="M186" s="69"/>
      <c r="N186" s="69"/>
    </row>
    <row r="187" ht="14.25" spans="1:14">
      <c r="A187" s="69"/>
      <c r="B187" s="15" t="s">
        <v>28</v>
      </c>
      <c r="C187" s="15" t="s">
        <v>222</v>
      </c>
      <c r="D187" s="15" t="s">
        <v>44</v>
      </c>
      <c r="E187" s="7">
        <v>12799.98</v>
      </c>
      <c r="F187" s="2">
        <v>1</v>
      </c>
      <c r="G187" s="7">
        <f t="shared" si="4"/>
        <v>12799.98</v>
      </c>
      <c r="H187" s="8">
        <v>0.5</v>
      </c>
      <c r="I187" s="76">
        <f t="shared" si="5"/>
        <v>6300</v>
      </c>
      <c r="J187" s="15">
        <v>184</v>
      </c>
      <c r="K187" s="15">
        <v>12</v>
      </c>
      <c r="L187" s="69"/>
      <c r="M187" s="69"/>
      <c r="N187" s="69"/>
    </row>
    <row r="188" ht="14.25" spans="1:14">
      <c r="A188" s="69"/>
      <c r="B188" s="15" t="s">
        <v>28</v>
      </c>
      <c r="C188" s="15" t="s">
        <v>223</v>
      </c>
      <c r="D188" s="15" t="s">
        <v>44</v>
      </c>
      <c r="E188" s="7">
        <v>11999.97</v>
      </c>
      <c r="F188" s="2">
        <v>2</v>
      </c>
      <c r="G188" s="7">
        <f t="shared" si="4"/>
        <v>23999.94</v>
      </c>
      <c r="H188" s="8">
        <v>0.5</v>
      </c>
      <c r="I188" s="76">
        <f t="shared" si="5"/>
        <v>11900</v>
      </c>
      <c r="J188" s="15">
        <v>185</v>
      </c>
      <c r="K188" s="15">
        <v>12</v>
      </c>
      <c r="L188" s="69"/>
      <c r="M188" s="69"/>
      <c r="N188" s="69"/>
    </row>
    <row r="189" ht="14.25" spans="1:14">
      <c r="A189" s="69"/>
      <c r="B189" s="15" t="s">
        <v>28</v>
      </c>
      <c r="C189" s="15" t="s">
        <v>224</v>
      </c>
      <c r="D189" s="15" t="s">
        <v>44</v>
      </c>
      <c r="E189" s="7">
        <v>11999.97</v>
      </c>
      <c r="F189" s="2">
        <v>2</v>
      </c>
      <c r="G189" s="7">
        <f t="shared" si="4"/>
        <v>23999.94</v>
      </c>
      <c r="H189" s="8">
        <v>0.5</v>
      </c>
      <c r="I189" s="76">
        <f t="shared" si="5"/>
        <v>11900</v>
      </c>
      <c r="J189" s="15">
        <v>186</v>
      </c>
      <c r="K189" s="15">
        <v>12</v>
      </c>
      <c r="L189" s="69"/>
      <c r="M189" s="69"/>
      <c r="N189" s="69"/>
    </row>
    <row r="190" ht="14.25" spans="1:14">
      <c r="A190" s="69"/>
      <c r="B190" s="15" t="s">
        <v>28</v>
      </c>
      <c r="C190" s="15" t="s">
        <v>225</v>
      </c>
      <c r="D190" s="15" t="s">
        <v>44</v>
      </c>
      <c r="E190" s="7">
        <v>12799.98</v>
      </c>
      <c r="F190" s="2">
        <v>1</v>
      </c>
      <c r="G190" s="7">
        <f t="shared" si="4"/>
        <v>12799.98</v>
      </c>
      <c r="H190" s="8">
        <v>0.5</v>
      </c>
      <c r="I190" s="76">
        <f t="shared" si="5"/>
        <v>6300</v>
      </c>
      <c r="J190" s="15">
        <v>187</v>
      </c>
      <c r="K190" s="15">
        <v>12</v>
      </c>
      <c r="L190" s="69"/>
      <c r="M190" s="69"/>
      <c r="N190" s="69"/>
    </row>
    <row r="191" ht="14.25" spans="1:14">
      <c r="A191" s="69"/>
      <c r="B191" s="15" t="s">
        <v>28</v>
      </c>
      <c r="C191" s="15" t="s">
        <v>226</v>
      </c>
      <c r="D191" s="15" t="s">
        <v>44</v>
      </c>
      <c r="E191" s="7">
        <v>11999.97</v>
      </c>
      <c r="F191" s="2">
        <v>2</v>
      </c>
      <c r="G191" s="7">
        <f t="shared" si="4"/>
        <v>23999.94</v>
      </c>
      <c r="H191" s="8">
        <v>0.5</v>
      </c>
      <c r="I191" s="76">
        <f t="shared" si="5"/>
        <v>11900</v>
      </c>
      <c r="J191" s="15">
        <v>188</v>
      </c>
      <c r="K191" s="15">
        <v>12</v>
      </c>
      <c r="L191" s="69"/>
      <c r="M191" s="69"/>
      <c r="N191" s="69"/>
    </row>
    <row r="192" ht="14.25" spans="1:14">
      <c r="A192" s="69"/>
      <c r="B192" s="15" t="s">
        <v>28</v>
      </c>
      <c r="C192" s="15" t="s">
        <v>227</v>
      </c>
      <c r="D192" s="15" t="s">
        <v>44</v>
      </c>
      <c r="E192" s="7">
        <v>11999.97</v>
      </c>
      <c r="F192" s="2">
        <v>2</v>
      </c>
      <c r="G192" s="7">
        <f t="shared" si="4"/>
        <v>23999.94</v>
      </c>
      <c r="H192" s="8">
        <v>0.5</v>
      </c>
      <c r="I192" s="76">
        <f t="shared" si="5"/>
        <v>11900</v>
      </c>
      <c r="J192" s="15">
        <v>189</v>
      </c>
      <c r="K192" s="15">
        <v>12</v>
      </c>
      <c r="L192" s="69"/>
      <c r="M192" s="69"/>
      <c r="N192" s="69"/>
    </row>
    <row r="193" ht="14.25" spans="1:14">
      <c r="A193" s="69"/>
      <c r="B193" s="15" t="s">
        <v>28</v>
      </c>
      <c r="C193" s="15" t="s">
        <v>228</v>
      </c>
      <c r="D193" s="15" t="s">
        <v>44</v>
      </c>
      <c r="E193" s="7">
        <f>1333.33*9</f>
        <v>11999.97</v>
      </c>
      <c r="F193" s="2">
        <v>2</v>
      </c>
      <c r="G193" s="7">
        <f t="shared" si="4"/>
        <v>23999.94</v>
      </c>
      <c r="H193" s="8">
        <v>0.5</v>
      </c>
      <c r="I193" s="76">
        <f t="shared" si="5"/>
        <v>11900</v>
      </c>
      <c r="J193" s="15">
        <v>190</v>
      </c>
      <c r="K193" s="15">
        <v>12</v>
      </c>
      <c r="L193" s="69"/>
      <c r="M193" s="69"/>
      <c r="N193" s="69"/>
    </row>
    <row r="194" ht="14.25" spans="1:14">
      <c r="A194" s="69"/>
      <c r="B194" s="15" t="s">
        <v>28</v>
      </c>
      <c r="C194" s="15" t="s">
        <v>229</v>
      </c>
      <c r="D194" s="15" t="s">
        <v>44</v>
      </c>
      <c r="E194" s="7">
        <v>16875</v>
      </c>
      <c r="F194" s="2">
        <v>2</v>
      </c>
      <c r="G194" s="7">
        <f t="shared" si="4"/>
        <v>33750</v>
      </c>
      <c r="H194" s="8">
        <v>0.5</v>
      </c>
      <c r="I194" s="76">
        <f t="shared" si="5"/>
        <v>16800</v>
      </c>
      <c r="J194" s="15">
        <v>191</v>
      </c>
      <c r="K194" s="15">
        <v>12</v>
      </c>
      <c r="L194" s="69"/>
      <c r="M194" s="69"/>
      <c r="N194" s="69"/>
    </row>
    <row r="195" ht="14.25" spans="1:14">
      <c r="A195" s="69"/>
      <c r="B195" s="15" t="s">
        <v>23</v>
      </c>
      <c r="C195" s="15" t="s">
        <v>230</v>
      </c>
      <c r="D195" s="15" t="s">
        <v>131</v>
      </c>
      <c r="E195" s="7">
        <v>19800</v>
      </c>
      <c r="F195" s="2">
        <v>2</v>
      </c>
      <c r="G195" s="7">
        <f t="shared" si="4"/>
        <v>39600</v>
      </c>
      <c r="H195" s="8">
        <v>0.5</v>
      </c>
      <c r="I195" s="76">
        <f t="shared" si="5"/>
        <v>19800</v>
      </c>
      <c r="J195" s="15">
        <v>192</v>
      </c>
      <c r="K195" s="15">
        <v>9</v>
      </c>
      <c r="L195" s="69"/>
      <c r="M195" s="69"/>
      <c r="N195" s="69"/>
    </row>
    <row r="196" ht="14.25" spans="1:14">
      <c r="A196" s="69"/>
      <c r="B196" s="15" t="s">
        <v>21</v>
      </c>
      <c r="C196" s="15" t="s">
        <v>231</v>
      </c>
      <c r="D196" s="15" t="s">
        <v>20</v>
      </c>
      <c r="E196" s="7">
        <v>12720</v>
      </c>
      <c r="F196" s="2">
        <v>1</v>
      </c>
      <c r="G196" s="7">
        <f t="shared" ref="G196:G212" si="7">E196*F196</f>
        <v>12720</v>
      </c>
      <c r="H196" s="8">
        <v>0.5</v>
      </c>
      <c r="I196" s="76">
        <f t="shared" ref="I196:I212" si="8">ROUNDDOWN(G196*H196,-2)</f>
        <v>6300</v>
      </c>
      <c r="J196" s="15">
        <v>193</v>
      </c>
      <c r="K196" s="15">
        <v>11</v>
      </c>
      <c r="L196" s="69"/>
      <c r="M196" s="69"/>
      <c r="N196" s="69"/>
    </row>
    <row r="197" ht="14.25" spans="1:14">
      <c r="A197" s="69"/>
      <c r="B197" s="15" t="s">
        <v>18</v>
      </c>
      <c r="C197" s="15" t="s">
        <v>232</v>
      </c>
      <c r="D197" s="15" t="s">
        <v>20</v>
      </c>
      <c r="E197" s="7">
        <v>12720</v>
      </c>
      <c r="F197" s="2">
        <v>2</v>
      </c>
      <c r="G197" s="7">
        <f t="shared" si="7"/>
        <v>25440</v>
      </c>
      <c r="H197" s="8">
        <v>0.5</v>
      </c>
      <c r="I197" s="76">
        <f t="shared" si="8"/>
        <v>12700</v>
      </c>
      <c r="J197" s="15">
        <v>194</v>
      </c>
      <c r="K197" s="15">
        <v>10</v>
      </c>
      <c r="L197" s="69"/>
      <c r="M197" s="69"/>
      <c r="N197" s="69"/>
    </row>
    <row r="198" ht="14.25" spans="1:14">
      <c r="A198" s="69"/>
      <c r="B198" s="15" t="s">
        <v>28</v>
      </c>
      <c r="C198" s="15" t="s">
        <v>233</v>
      </c>
      <c r="D198" s="15" t="s">
        <v>15</v>
      </c>
      <c r="E198" s="7">
        <f>37600/4</f>
        <v>9400</v>
      </c>
      <c r="F198" s="2">
        <v>2</v>
      </c>
      <c r="G198" s="7">
        <f t="shared" si="7"/>
        <v>18800</v>
      </c>
      <c r="H198" s="8">
        <v>0.5</v>
      </c>
      <c r="I198" s="76">
        <f t="shared" si="8"/>
        <v>9400</v>
      </c>
      <c r="J198" s="15">
        <v>195</v>
      </c>
      <c r="K198" s="15">
        <v>12</v>
      </c>
      <c r="L198" s="69"/>
      <c r="M198" s="69"/>
      <c r="N198" s="69"/>
    </row>
    <row r="199" ht="14.25" spans="1:14">
      <c r="A199" s="79"/>
      <c r="B199" s="79" t="s">
        <v>28</v>
      </c>
      <c r="C199" s="79" t="s">
        <v>234</v>
      </c>
      <c r="D199" s="79" t="s">
        <v>15</v>
      </c>
      <c r="E199" s="82"/>
      <c r="F199" s="83">
        <v>2</v>
      </c>
      <c r="G199" s="82">
        <f t="shared" si="7"/>
        <v>0</v>
      </c>
      <c r="H199" s="8">
        <v>0.5</v>
      </c>
      <c r="I199" s="76">
        <f t="shared" si="8"/>
        <v>0</v>
      </c>
      <c r="J199" s="79">
        <v>196</v>
      </c>
      <c r="K199" s="15">
        <v>12</v>
      </c>
      <c r="L199" s="79" t="s">
        <v>235</v>
      </c>
      <c r="M199" s="84"/>
      <c r="N199" s="79"/>
    </row>
    <row r="200" ht="14.25" spans="1:14">
      <c r="A200" s="69"/>
      <c r="B200" s="15" t="s">
        <v>28</v>
      </c>
      <c r="C200" s="15" t="s">
        <v>236</v>
      </c>
      <c r="D200" s="70" t="s">
        <v>30</v>
      </c>
      <c r="E200" s="7">
        <v>16800</v>
      </c>
      <c r="F200" s="2">
        <v>2</v>
      </c>
      <c r="G200" s="7">
        <f t="shared" si="7"/>
        <v>33600</v>
      </c>
      <c r="H200" s="8">
        <v>0.5</v>
      </c>
      <c r="I200" s="76">
        <f t="shared" si="8"/>
        <v>16800</v>
      </c>
      <c r="J200" s="15">
        <v>197</v>
      </c>
      <c r="K200" s="15">
        <v>12</v>
      </c>
      <c r="L200" s="69"/>
      <c r="M200" s="69"/>
      <c r="N200" s="69"/>
    </row>
    <row r="201" ht="14.25" spans="1:14">
      <c r="A201" s="69"/>
      <c r="B201" s="15" t="s">
        <v>23</v>
      </c>
      <c r="C201" s="15" t="s">
        <v>237</v>
      </c>
      <c r="D201" s="15" t="s">
        <v>180</v>
      </c>
      <c r="E201" s="7">
        <v>27000</v>
      </c>
      <c r="F201" s="2">
        <v>2</v>
      </c>
      <c r="G201" s="7">
        <f t="shared" si="7"/>
        <v>54000</v>
      </c>
      <c r="H201" s="8">
        <v>0.5</v>
      </c>
      <c r="I201" s="76">
        <f t="shared" si="8"/>
        <v>27000</v>
      </c>
      <c r="J201" s="15">
        <v>198</v>
      </c>
      <c r="K201" s="15">
        <v>9</v>
      </c>
      <c r="L201" s="69"/>
      <c r="M201" s="69"/>
      <c r="N201" s="69"/>
    </row>
    <row r="202" ht="14.25" spans="1:14">
      <c r="A202" s="69"/>
      <c r="B202" s="15" t="s">
        <v>23</v>
      </c>
      <c r="C202" s="15" t="s">
        <v>238</v>
      </c>
      <c r="D202" s="15" t="s">
        <v>180</v>
      </c>
      <c r="E202" s="7">
        <v>27000</v>
      </c>
      <c r="F202" s="2">
        <v>2</v>
      </c>
      <c r="G202" s="7">
        <f t="shared" si="7"/>
        <v>54000</v>
      </c>
      <c r="H202" s="8">
        <v>0.5</v>
      </c>
      <c r="I202" s="76">
        <f t="shared" si="8"/>
        <v>27000</v>
      </c>
      <c r="J202" s="15">
        <v>199</v>
      </c>
      <c r="K202" s="15">
        <v>9</v>
      </c>
      <c r="L202" s="69"/>
      <c r="M202" s="69"/>
      <c r="N202" s="69"/>
    </row>
    <row r="203" ht="14.25" spans="1:14">
      <c r="A203" s="69"/>
      <c r="B203" s="15" t="s">
        <v>23</v>
      </c>
      <c r="C203" s="15" t="s">
        <v>238</v>
      </c>
      <c r="D203" s="15" t="s">
        <v>131</v>
      </c>
      <c r="E203" s="7">
        <v>19800</v>
      </c>
      <c r="F203" s="2">
        <v>2</v>
      </c>
      <c r="G203" s="7">
        <f t="shared" si="7"/>
        <v>39600</v>
      </c>
      <c r="H203" s="8">
        <v>0.5</v>
      </c>
      <c r="I203" s="76">
        <f t="shared" si="8"/>
        <v>19800</v>
      </c>
      <c r="J203" s="15">
        <v>200</v>
      </c>
      <c r="K203" s="15">
        <v>9</v>
      </c>
      <c r="L203" s="69"/>
      <c r="M203" s="69"/>
      <c r="N203" s="69"/>
    </row>
    <row r="204" ht="14.25" spans="1:14">
      <c r="A204" s="69"/>
      <c r="B204" s="15" t="s">
        <v>23</v>
      </c>
      <c r="C204" s="15" t="s">
        <v>230</v>
      </c>
      <c r="D204" s="15" t="s">
        <v>180</v>
      </c>
      <c r="E204" s="7">
        <v>27000</v>
      </c>
      <c r="F204" s="2">
        <v>2</v>
      </c>
      <c r="G204" s="7">
        <f t="shared" si="7"/>
        <v>54000</v>
      </c>
      <c r="H204" s="8">
        <v>0.5</v>
      </c>
      <c r="I204" s="76">
        <f t="shared" si="8"/>
        <v>27000</v>
      </c>
      <c r="J204" s="15">
        <v>201</v>
      </c>
      <c r="K204" s="15">
        <v>9</v>
      </c>
      <c r="L204" s="69"/>
      <c r="M204" s="69"/>
      <c r="N204" s="69"/>
    </row>
    <row r="205" ht="14.25" spans="1:14">
      <c r="A205" s="69"/>
      <c r="B205" s="15" t="s">
        <v>18</v>
      </c>
      <c r="C205" s="15" t="s">
        <v>220</v>
      </c>
      <c r="D205" s="15" t="s">
        <v>180</v>
      </c>
      <c r="E205" s="7">
        <v>27000</v>
      </c>
      <c r="F205" s="2">
        <v>2</v>
      </c>
      <c r="G205" s="7">
        <f t="shared" si="7"/>
        <v>54000</v>
      </c>
      <c r="H205" s="8">
        <v>0.5</v>
      </c>
      <c r="I205" s="76">
        <f t="shared" si="8"/>
        <v>27000</v>
      </c>
      <c r="J205" s="15">
        <v>202</v>
      </c>
      <c r="K205" s="15">
        <v>10</v>
      </c>
      <c r="L205" s="69"/>
      <c r="M205" s="69"/>
      <c r="N205" s="69"/>
    </row>
    <row r="206" ht="14.25" spans="1:14">
      <c r="A206" s="69"/>
      <c r="B206" s="15" t="s">
        <v>112</v>
      </c>
      <c r="C206" s="15" t="s">
        <v>239</v>
      </c>
      <c r="D206" s="15" t="s">
        <v>180</v>
      </c>
      <c r="E206" s="7">
        <v>27000</v>
      </c>
      <c r="F206" s="2">
        <v>2</v>
      </c>
      <c r="G206" s="7">
        <f t="shared" si="7"/>
        <v>54000</v>
      </c>
      <c r="H206" s="8">
        <v>0.5</v>
      </c>
      <c r="I206" s="76">
        <f t="shared" si="8"/>
        <v>27000</v>
      </c>
      <c r="J206" s="15">
        <v>203</v>
      </c>
      <c r="K206" s="15">
        <v>4</v>
      </c>
      <c r="L206" s="69"/>
      <c r="M206" s="69"/>
      <c r="N206" s="69"/>
    </row>
    <row r="207" ht="14.25" spans="1:14">
      <c r="A207" s="69"/>
      <c r="B207" s="15" t="s">
        <v>28</v>
      </c>
      <c r="C207" s="15" t="s">
        <v>240</v>
      </c>
      <c r="D207" s="70" t="s">
        <v>30</v>
      </c>
      <c r="E207" s="7">
        <v>16800</v>
      </c>
      <c r="F207" s="2">
        <v>1</v>
      </c>
      <c r="G207" s="7">
        <f t="shared" si="7"/>
        <v>16800</v>
      </c>
      <c r="H207" s="8">
        <v>0.5</v>
      </c>
      <c r="I207" s="76">
        <f t="shared" si="8"/>
        <v>8400</v>
      </c>
      <c r="J207" s="15">
        <v>204</v>
      </c>
      <c r="K207" s="15">
        <v>12</v>
      </c>
      <c r="L207" s="69"/>
      <c r="M207" s="69"/>
      <c r="N207" s="69"/>
    </row>
    <row r="208" ht="14.25" spans="1:14">
      <c r="A208" s="69"/>
      <c r="B208" s="15" t="s">
        <v>18</v>
      </c>
      <c r="C208" s="15" t="s">
        <v>241</v>
      </c>
      <c r="D208" s="15" t="s">
        <v>131</v>
      </c>
      <c r="E208" s="7">
        <v>19800</v>
      </c>
      <c r="F208" s="2">
        <v>2</v>
      </c>
      <c r="G208" s="7">
        <f t="shared" si="7"/>
        <v>39600</v>
      </c>
      <c r="H208" s="8">
        <v>0.5</v>
      </c>
      <c r="I208" s="76">
        <f t="shared" si="8"/>
        <v>19800</v>
      </c>
      <c r="J208" s="15">
        <v>205</v>
      </c>
      <c r="K208" s="15">
        <v>10</v>
      </c>
      <c r="L208" s="69"/>
      <c r="M208" s="69"/>
      <c r="N208" s="69"/>
    </row>
    <row r="209" ht="14.25" spans="1:14">
      <c r="A209" s="69"/>
      <c r="B209" s="15" t="s">
        <v>18</v>
      </c>
      <c r="C209" s="15" t="s">
        <v>241</v>
      </c>
      <c r="D209" s="15" t="s">
        <v>180</v>
      </c>
      <c r="E209" s="7">
        <v>27000</v>
      </c>
      <c r="F209" s="2">
        <v>2</v>
      </c>
      <c r="G209" s="7">
        <f t="shared" si="7"/>
        <v>54000</v>
      </c>
      <c r="H209" s="8">
        <v>0.5</v>
      </c>
      <c r="I209" s="76">
        <f t="shared" si="8"/>
        <v>27000</v>
      </c>
      <c r="J209" s="15">
        <v>206</v>
      </c>
      <c r="K209" s="15">
        <v>10</v>
      </c>
      <c r="L209" s="69"/>
      <c r="M209" s="69"/>
      <c r="N209" s="69"/>
    </row>
    <row r="210" ht="14.25" spans="1:14">
      <c r="A210" s="69"/>
      <c r="B210" s="15" t="s">
        <v>28</v>
      </c>
      <c r="C210" s="15" t="s">
        <v>242</v>
      </c>
      <c r="D210" s="15" t="s">
        <v>44</v>
      </c>
      <c r="E210" s="7">
        <v>11999.97</v>
      </c>
      <c r="F210" s="2">
        <v>2</v>
      </c>
      <c r="G210" s="7">
        <f t="shared" si="7"/>
        <v>23999.94</v>
      </c>
      <c r="H210" s="8">
        <v>0.5</v>
      </c>
      <c r="I210" s="76">
        <f t="shared" si="8"/>
        <v>11900</v>
      </c>
      <c r="J210" s="15">
        <v>207</v>
      </c>
      <c r="K210" s="15">
        <v>12</v>
      </c>
      <c r="L210" s="69"/>
      <c r="M210" s="69"/>
      <c r="N210" s="69"/>
    </row>
    <row r="211" ht="14.25" spans="1:14">
      <c r="A211" s="69"/>
      <c r="B211" s="15" t="s">
        <v>13</v>
      </c>
      <c r="C211" s="15" t="s">
        <v>243</v>
      </c>
      <c r="D211" s="15" t="s">
        <v>15</v>
      </c>
      <c r="E211" s="7">
        <v>10400</v>
      </c>
      <c r="F211" s="2">
        <v>2</v>
      </c>
      <c r="G211" s="7">
        <f t="shared" si="7"/>
        <v>20800</v>
      </c>
      <c r="H211" s="8">
        <v>0.5</v>
      </c>
      <c r="I211" s="76">
        <f t="shared" si="8"/>
        <v>10400</v>
      </c>
      <c r="J211" s="15">
        <v>208</v>
      </c>
      <c r="K211" s="15">
        <v>1</v>
      </c>
      <c r="L211" s="69"/>
      <c r="M211" s="69"/>
      <c r="N211" s="69"/>
    </row>
    <row r="212" ht="14.25" spans="1:14">
      <c r="A212" s="69"/>
      <c r="B212" s="15" t="s">
        <v>13</v>
      </c>
      <c r="C212" s="15" t="s">
        <v>244</v>
      </c>
      <c r="D212" s="15" t="s">
        <v>20</v>
      </c>
      <c r="E212" s="7">
        <v>19800</v>
      </c>
      <c r="F212" s="2">
        <v>2</v>
      </c>
      <c r="G212" s="7">
        <f t="shared" si="7"/>
        <v>39600</v>
      </c>
      <c r="H212" s="8">
        <v>0.5</v>
      </c>
      <c r="I212" s="76">
        <f t="shared" si="8"/>
        <v>19800</v>
      </c>
      <c r="J212" s="15">
        <v>209</v>
      </c>
      <c r="K212" s="15">
        <v>1</v>
      </c>
      <c r="L212" s="69"/>
      <c r="M212" s="69"/>
      <c r="N212" s="69"/>
    </row>
    <row r="213" ht="14.25" spans="1:14">
      <c r="A213" s="69"/>
      <c r="B213" s="69"/>
      <c r="C213" s="69"/>
      <c r="D213" s="69"/>
      <c r="E213" s="7"/>
      <c r="F213" s="2"/>
      <c r="G213" s="7">
        <f>SUM(G4:G212)</f>
        <v>5760303.16285715</v>
      </c>
      <c r="H213" s="2">
        <f>SUM(H4:H212)</f>
        <v>105.5</v>
      </c>
      <c r="I213" s="76">
        <f>SUM(I4:I212)</f>
        <v>2905000</v>
      </c>
      <c r="J213" s="69"/>
      <c r="K213" s="15"/>
      <c r="L213" s="69"/>
      <c r="M213" s="69"/>
      <c r="N213" s="69"/>
    </row>
  </sheetData>
  <autoFilter ref="A3:N213">
    <filterColumn colId="13">
      <customFilters>
        <customFilter operator="equal" val="展位单价"/>
      </customFilters>
    </filterColumn>
    <extLst/>
  </autoFilter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K226"/>
  <sheetViews>
    <sheetView workbookViewId="0">
      <selection activeCell="A1" sqref="A1:I1"/>
    </sheetView>
  </sheetViews>
  <sheetFormatPr defaultColWidth="9" defaultRowHeight="13.5"/>
  <cols>
    <col min="1" max="1" width="5.81666666666667" customWidth="true"/>
    <col min="2" max="2" width="12.8166666666667" customWidth="true"/>
    <col min="3" max="3" width="37.8166666666667" customWidth="true"/>
    <col min="4" max="4" width="28.8166666666667" customWidth="true"/>
    <col min="5" max="5" width="13.1833333333333" customWidth="true"/>
    <col min="6" max="6" width="9.54166666666667" customWidth="true"/>
    <col min="7" max="7" width="11.45" customWidth="true"/>
    <col min="8" max="8" width="9.54166666666667" customWidth="true"/>
    <col min="9" max="9" width="13.5416666666667" customWidth="true"/>
    <col min="10" max="11" width="9.54166666666667" customWidth="true"/>
  </cols>
  <sheetData>
    <row r="1" ht="19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5"/>
      <c r="K1" s="15"/>
    </row>
    <row r="2" ht="14.25" spans="1:11">
      <c r="A2" s="2"/>
      <c r="B2" s="2"/>
      <c r="C2" s="2"/>
      <c r="D2" s="3"/>
      <c r="E2" s="6"/>
      <c r="F2" s="2"/>
      <c r="G2" s="7"/>
      <c r="H2" s="8"/>
      <c r="I2" s="16" t="s">
        <v>1</v>
      </c>
      <c r="J2" s="15"/>
      <c r="K2" s="15"/>
    </row>
    <row r="3" ht="25.5" spans="1:11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  <c r="F3" s="10" t="s">
        <v>7</v>
      </c>
      <c r="G3" s="9" t="s">
        <v>8</v>
      </c>
      <c r="H3" s="11" t="s">
        <v>9</v>
      </c>
      <c r="I3" s="17" t="s">
        <v>10</v>
      </c>
      <c r="J3" s="15"/>
      <c r="K3" s="15"/>
    </row>
    <row r="4" spans="1:11">
      <c r="A4" s="5">
        <v>1</v>
      </c>
      <c r="B4" s="5" t="s">
        <v>13</v>
      </c>
      <c r="C4" s="5" t="s">
        <v>164</v>
      </c>
      <c r="D4" s="5" t="s">
        <v>20</v>
      </c>
      <c r="E4" s="12">
        <f>2332*9</f>
        <v>20988</v>
      </c>
      <c r="F4" s="13">
        <v>2</v>
      </c>
      <c r="G4" s="12">
        <f t="shared" ref="G4:G44" si="0">E4*F4</f>
        <v>41976</v>
      </c>
      <c r="H4" s="14">
        <v>0.5</v>
      </c>
      <c r="I4" s="12">
        <f t="shared" ref="I4:I44" si="1">ROUNDDOWN(G4*H4,-2)</f>
        <v>20900</v>
      </c>
      <c r="J4" s="15"/>
      <c r="K4" s="15"/>
    </row>
    <row r="5" spans="1:11">
      <c r="A5" s="5">
        <v>2</v>
      </c>
      <c r="B5" s="5" t="s">
        <v>13</v>
      </c>
      <c r="C5" s="5" t="s">
        <v>186</v>
      </c>
      <c r="D5" s="5" t="s">
        <v>180</v>
      </c>
      <c r="E5" s="12">
        <v>27000</v>
      </c>
      <c r="F5" s="13">
        <v>1</v>
      </c>
      <c r="G5" s="12">
        <f t="shared" si="0"/>
        <v>27000</v>
      </c>
      <c r="H5" s="14">
        <v>0.5</v>
      </c>
      <c r="I5" s="12">
        <f t="shared" si="1"/>
        <v>13500</v>
      </c>
      <c r="J5" s="15"/>
      <c r="K5" s="15"/>
    </row>
    <row r="6" spans="1:11">
      <c r="A6" s="5">
        <v>3</v>
      </c>
      <c r="B6" s="5" t="s">
        <v>13</v>
      </c>
      <c r="C6" s="5" t="s">
        <v>105</v>
      </c>
      <c r="D6" s="5" t="s">
        <v>58</v>
      </c>
      <c r="E6" s="12">
        <f>21420</f>
        <v>21420</v>
      </c>
      <c r="F6" s="13">
        <v>1</v>
      </c>
      <c r="G6" s="12">
        <f t="shared" si="0"/>
        <v>21420</v>
      </c>
      <c r="H6" s="14">
        <v>0.5</v>
      </c>
      <c r="I6" s="12">
        <f t="shared" si="1"/>
        <v>10700</v>
      </c>
      <c r="J6" s="15"/>
      <c r="K6" s="15"/>
    </row>
    <row r="7" spans="1:11">
      <c r="A7" s="5">
        <v>4</v>
      </c>
      <c r="B7" s="5" t="s">
        <v>13</v>
      </c>
      <c r="C7" s="5" t="s">
        <v>34</v>
      </c>
      <c r="D7" s="5" t="s">
        <v>20</v>
      </c>
      <c r="E7" s="12">
        <f>2200*9*1.06</f>
        <v>20988</v>
      </c>
      <c r="F7" s="13">
        <v>2</v>
      </c>
      <c r="G7" s="12">
        <f t="shared" si="0"/>
        <v>41976</v>
      </c>
      <c r="H7" s="14">
        <v>0.5</v>
      </c>
      <c r="I7" s="12">
        <f t="shared" si="1"/>
        <v>20900</v>
      </c>
      <c r="J7" s="15"/>
      <c r="K7" s="15"/>
    </row>
    <row r="8" spans="1:11">
      <c r="A8" s="5">
        <v>5</v>
      </c>
      <c r="B8" s="5" t="s">
        <v>13</v>
      </c>
      <c r="C8" s="5" t="s">
        <v>244</v>
      </c>
      <c r="D8" s="5" t="s">
        <v>20</v>
      </c>
      <c r="E8" s="12">
        <v>19800</v>
      </c>
      <c r="F8" s="13">
        <v>2</v>
      </c>
      <c r="G8" s="12">
        <f t="shared" si="0"/>
        <v>39600</v>
      </c>
      <c r="H8" s="14">
        <v>0.5</v>
      </c>
      <c r="I8" s="12">
        <f t="shared" si="1"/>
        <v>19800</v>
      </c>
      <c r="J8" s="15"/>
      <c r="K8" s="15"/>
    </row>
    <row r="9" spans="1:11">
      <c r="A9" s="5">
        <v>6</v>
      </c>
      <c r="B9" s="5" t="s">
        <v>13</v>
      </c>
      <c r="C9" s="5" t="s">
        <v>70</v>
      </c>
      <c r="D9" s="5" t="s">
        <v>58</v>
      </c>
      <c r="E9" s="12">
        <f>27000</f>
        <v>27000</v>
      </c>
      <c r="F9" s="13">
        <v>1</v>
      </c>
      <c r="G9" s="12">
        <f t="shared" si="0"/>
        <v>27000</v>
      </c>
      <c r="H9" s="14">
        <v>0.5</v>
      </c>
      <c r="I9" s="12">
        <f t="shared" si="1"/>
        <v>13500</v>
      </c>
      <c r="J9" s="15"/>
      <c r="K9" s="15"/>
    </row>
    <row r="10" spans="1:11">
      <c r="A10" s="5">
        <v>7</v>
      </c>
      <c r="B10" s="5" t="s">
        <v>13</v>
      </c>
      <c r="C10" s="5" t="s">
        <v>71</v>
      </c>
      <c r="D10" s="5" t="s">
        <v>58</v>
      </c>
      <c r="E10" s="12">
        <f>23000</f>
        <v>23000</v>
      </c>
      <c r="F10" s="13">
        <v>1</v>
      </c>
      <c r="G10" s="12">
        <f t="shared" si="0"/>
        <v>23000</v>
      </c>
      <c r="H10" s="14">
        <v>0.5</v>
      </c>
      <c r="I10" s="12">
        <f t="shared" si="1"/>
        <v>11500</v>
      </c>
      <c r="J10" s="15"/>
      <c r="K10" s="15"/>
    </row>
    <row r="11" spans="1:11">
      <c r="A11" s="5">
        <v>8</v>
      </c>
      <c r="B11" s="5" t="s">
        <v>13</v>
      </c>
      <c r="C11" s="5" t="s">
        <v>178</v>
      </c>
      <c r="D11" s="5" t="s">
        <v>131</v>
      </c>
      <c r="E11" s="12">
        <f>19800</f>
        <v>19800</v>
      </c>
      <c r="F11" s="13">
        <v>2</v>
      </c>
      <c r="G11" s="12">
        <f t="shared" si="0"/>
        <v>39600</v>
      </c>
      <c r="H11" s="14">
        <v>0.5</v>
      </c>
      <c r="I11" s="12">
        <f t="shared" si="1"/>
        <v>19800</v>
      </c>
      <c r="J11" s="15"/>
      <c r="K11" s="15"/>
    </row>
    <row r="12" spans="1:11">
      <c r="A12" s="5">
        <v>9</v>
      </c>
      <c r="B12" s="5" t="s">
        <v>13</v>
      </c>
      <c r="C12" s="5" t="s">
        <v>157</v>
      </c>
      <c r="D12" s="5" t="s">
        <v>20</v>
      </c>
      <c r="E12" s="12">
        <f>12000+(12000*6%)</f>
        <v>12720</v>
      </c>
      <c r="F12" s="13">
        <v>2</v>
      </c>
      <c r="G12" s="12">
        <f t="shared" si="0"/>
        <v>25440</v>
      </c>
      <c r="H12" s="14">
        <v>0.5</v>
      </c>
      <c r="I12" s="12">
        <f t="shared" si="1"/>
        <v>12700</v>
      </c>
      <c r="J12" s="15"/>
      <c r="K12" s="15"/>
    </row>
    <row r="13" spans="1:11">
      <c r="A13" s="5">
        <v>10</v>
      </c>
      <c r="B13" s="5" t="s">
        <v>13</v>
      </c>
      <c r="C13" s="5" t="s">
        <v>128</v>
      </c>
      <c r="D13" s="5" t="s">
        <v>20</v>
      </c>
      <c r="E13" s="12">
        <f>12000+(12000*6%)</f>
        <v>12720</v>
      </c>
      <c r="F13" s="13">
        <v>2</v>
      </c>
      <c r="G13" s="12">
        <f t="shared" si="0"/>
        <v>25440</v>
      </c>
      <c r="H13" s="14">
        <v>0.5</v>
      </c>
      <c r="I13" s="12">
        <f t="shared" si="1"/>
        <v>12700</v>
      </c>
      <c r="J13" s="15"/>
      <c r="K13" s="15"/>
    </row>
    <row r="14" spans="1:11">
      <c r="A14" s="5">
        <v>11</v>
      </c>
      <c r="B14" s="5" t="s">
        <v>13</v>
      </c>
      <c r="C14" s="5" t="s">
        <v>85</v>
      </c>
      <c r="D14" s="5" t="s">
        <v>58</v>
      </c>
      <c r="E14" s="12">
        <f>27000</f>
        <v>27000</v>
      </c>
      <c r="F14" s="13">
        <v>1</v>
      </c>
      <c r="G14" s="12">
        <f t="shared" si="0"/>
        <v>27000</v>
      </c>
      <c r="H14" s="14">
        <v>0.5</v>
      </c>
      <c r="I14" s="12">
        <f t="shared" si="1"/>
        <v>13500</v>
      </c>
      <c r="J14" s="15"/>
      <c r="K14" s="15"/>
    </row>
    <row r="15" spans="1:11">
      <c r="A15" s="5">
        <v>12</v>
      </c>
      <c r="B15" s="5" t="s">
        <v>13</v>
      </c>
      <c r="C15" s="5" t="s">
        <v>84</v>
      </c>
      <c r="D15" s="5" t="s">
        <v>58</v>
      </c>
      <c r="E15" s="12">
        <f>166600/42*9</f>
        <v>35700</v>
      </c>
      <c r="F15" s="13">
        <v>2</v>
      </c>
      <c r="G15" s="12">
        <f t="shared" si="0"/>
        <v>71400</v>
      </c>
      <c r="H15" s="14">
        <v>0.5</v>
      </c>
      <c r="I15" s="12">
        <f t="shared" si="1"/>
        <v>35700</v>
      </c>
      <c r="J15" s="15"/>
      <c r="K15" s="15"/>
    </row>
    <row r="16" spans="1:11">
      <c r="A16" s="5">
        <v>13</v>
      </c>
      <c r="B16" s="5" t="s">
        <v>13</v>
      </c>
      <c r="C16" s="5" t="s">
        <v>124</v>
      </c>
      <c r="D16" s="5" t="s">
        <v>20</v>
      </c>
      <c r="E16" s="12">
        <f>12000+(12000*6%)</f>
        <v>12720</v>
      </c>
      <c r="F16" s="13">
        <v>2</v>
      </c>
      <c r="G16" s="12">
        <f t="shared" si="0"/>
        <v>25440</v>
      </c>
      <c r="H16" s="14">
        <v>0.5</v>
      </c>
      <c r="I16" s="12">
        <f t="shared" si="1"/>
        <v>12700</v>
      </c>
      <c r="J16" s="15"/>
      <c r="K16" s="15"/>
    </row>
    <row r="17" spans="1:11">
      <c r="A17" s="5">
        <v>14</v>
      </c>
      <c r="B17" s="5" t="s">
        <v>13</v>
      </c>
      <c r="C17" s="5" t="s">
        <v>151</v>
      </c>
      <c r="D17" s="5" t="s">
        <v>20</v>
      </c>
      <c r="E17" s="12">
        <f>12000+(12000*6%)</f>
        <v>12720</v>
      </c>
      <c r="F17" s="13">
        <v>1</v>
      </c>
      <c r="G17" s="12">
        <f t="shared" si="0"/>
        <v>12720</v>
      </c>
      <c r="H17" s="14">
        <v>0.5</v>
      </c>
      <c r="I17" s="12">
        <f t="shared" si="1"/>
        <v>6300</v>
      </c>
      <c r="J17" s="15"/>
      <c r="K17" s="15"/>
    </row>
    <row r="18" spans="1:11">
      <c r="A18" s="5">
        <v>15</v>
      </c>
      <c r="B18" s="5" t="s">
        <v>13</v>
      </c>
      <c r="C18" s="5" t="s">
        <v>74</v>
      </c>
      <c r="D18" s="5" t="s">
        <v>58</v>
      </c>
      <c r="E18" s="12">
        <f>18900</f>
        <v>18900</v>
      </c>
      <c r="F18" s="13">
        <v>1</v>
      </c>
      <c r="G18" s="12">
        <f t="shared" si="0"/>
        <v>18900</v>
      </c>
      <c r="H18" s="14">
        <v>0.5</v>
      </c>
      <c r="I18" s="12">
        <f t="shared" si="1"/>
        <v>9400</v>
      </c>
      <c r="J18" s="15"/>
      <c r="K18" s="15"/>
    </row>
    <row r="19" spans="1:11">
      <c r="A19" s="5">
        <v>16</v>
      </c>
      <c r="B19" s="5" t="s">
        <v>13</v>
      </c>
      <c r="C19" s="5" t="s">
        <v>170</v>
      </c>
      <c r="D19" s="5" t="s">
        <v>20</v>
      </c>
      <c r="E19" s="12">
        <f>12000+(12000*6%)</f>
        <v>12720</v>
      </c>
      <c r="F19" s="13">
        <v>2</v>
      </c>
      <c r="G19" s="12">
        <f t="shared" si="0"/>
        <v>25440</v>
      </c>
      <c r="H19" s="14">
        <v>0.5</v>
      </c>
      <c r="I19" s="12">
        <f t="shared" si="1"/>
        <v>12700</v>
      </c>
      <c r="J19" s="15"/>
      <c r="K19" s="15"/>
    </row>
    <row r="20" spans="1:11">
      <c r="A20" s="5">
        <v>17</v>
      </c>
      <c r="B20" s="5" t="s">
        <v>13</v>
      </c>
      <c r="C20" s="5" t="s">
        <v>73</v>
      </c>
      <c r="D20" s="5" t="s">
        <v>58</v>
      </c>
      <c r="E20" s="12">
        <f>119040/48*9</f>
        <v>22320</v>
      </c>
      <c r="F20" s="13">
        <v>2</v>
      </c>
      <c r="G20" s="12">
        <f t="shared" si="0"/>
        <v>44640</v>
      </c>
      <c r="H20" s="14">
        <v>0.5</v>
      </c>
      <c r="I20" s="12">
        <f t="shared" si="1"/>
        <v>22300</v>
      </c>
      <c r="J20" s="15"/>
      <c r="K20" s="15"/>
    </row>
    <row r="21" spans="1:11">
      <c r="A21" s="5">
        <v>18</v>
      </c>
      <c r="B21" s="5" t="s">
        <v>13</v>
      </c>
      <c r="C21" s="5" t="s">
        <v>179</v>
      </c>
      <c r="D21" s="5" t="s">
        <v>180</v>
      </c>
      <c r="E21" s="12">
        <f>54000/2</f>
        <v>27000</v>
      </c>
      <c r="F21" s="13">
        <v>2</v>
      </c>
      <c r="G21" s="12">
        <f t="shared" si="0"/>
        <v>54000</v>
      </c>
      <c r="H21" s="14">
        <v>0.5</v>
      </c>
      <c r="I21" s="12">
        <f t="shared" si="1"/>
        <v>27000</v>
      </c>
      <c r="J21" s="15"/>
      <c r="K21" s="15"/>
    </row>
    <row r="22" spans="1:11">
      <c r="A22" s="5">
        <v>19</v>
      </c>
      <c r="B22" s="5" t="s">
        <v>13</v>
      </c>
      <c r="C22" s="5" t="s">
        <v>89</v>
      </c>
      <c r="D22" s="5" t="s">
        <v>20</v>
      </c>
      <c r="E22" s="12">
        <f>12000+(12000*6%)</f>
        <v>12720</v>
      </c>
      <c r="F22" s="13">
        <v>1</v>
      </c>
      <c r="G22" s="12">
        <f t="shared" si="0"/>
        <v>12720</v>
      </c>
      <c r="H22" s="14">
        <v>0.5</v>
      </c>
      <c r="I22" s="12">
        <f t="shared" si="1"/>
        <v>6300</v>
      </c>
      <c r="J22" s="15"/>
      <c r="K22" s="15"/>
    </row>
    <row r="23" spans="1:11">
      <c r="A23" s="5">
        <v>20</v>
      </c>
      <c r="B23" s="5" t="s">
        <v>13</v>
      </c>
      <c r="C23" s="5" t="s">
        <v>14</v>
      </c>
      <c r="D23" s="5" t="s">
        <v>15</v>
      </c>
      <c r="E23" s="12">
        <f>(345600-0)/216*9</f>
        <v>14400</v>
      </c>
      <c r="F23" s="13">
        <v>2</v>
      </c>
      <c r="G23" s="12">
        <f t="shared" si="0"/>
        <v>28800</v>
      </c>
      <c r="H23" s="14">
        <v>0.5</v>
      </c>
      <c r="I23" s="12">
        <f t="shared" si="1"/>
        <v>14400</v>
      </c>
      <c r="J23" s="15"/>
      <c r="K23" s="15"/>
    </row>
    <row r="24" spans="1:11">
      <c r="A24" s="5">
        <v>21</v>
      </c>
      <c r="B24" s="5" t="s">
        <v>13</v>
      </c>
      <c r="C24" s="5" t="s">
        <v>218</v>
      </c>
      <c r="D24" s="5" t="s">
        <v>20</v>
      </c>
      <c r="E24" s="12">
        <v>12720</v>
      </c>
      <c r="F24" s="13">
        <v>2</v>
      </c>
      <c r="G24" s="12">
        <f t="shared" si="0"/>
        <v>25440</v>
      </c>
      <c r="H24" s="14">
        <v>0.5</v>
      </c>
      <c r="I24" s="12">
        <f t="shared" si="1"/>
        <v>12700</v>
      </c>
      <c r="J24" s="15"/>
      <c r="K24" s="15"/>
    </row>
    <row r="25" spans="1:11">
      <c r="A25" s="5">
        <v>22</v>
      </c>
      <c r="B25" s="5" t="s">
        <v>13</v>
      </c>
      <c r="C25" s="5" t="s">
        <v>57</v>
      </c>
      <c r="D25" s="5" t="s">
        <v>58</v>
      </c>
      <c r="E25" s="12">
        <f>21420</f>
        <v>21420</v>
      </c>
      <c r="F25" s="13">
        <v>1</v>
      </c>
      <c r="G25" s="12">
        <f t="shared" si="0"/>
        <v>21420</v>
      </c>
      <c r="H25" s="14">
        <v>0.5</v>
      </c>
      <c r="I25" s="12">
        <f t="shared" si="1"/>
        <v>10700</v>
      </c>
      <c r="J25" s="15"/>
      <c r="K25" s="15"/>
    </row>
    <row r="26" spans="1:11">
      <c r="A26" s="5">
        <v>23</v>
      </c>
      <c r="B26" s="5" t="s">
        <v>13</v>
      </c>
      <c r="C26" s="5" t="s">
        <v>120</v>
      </c>
      <c r="D26" s="5" t="s">
        <v>20</v>
      </c>
      <c r="E26" s="12">
        <f>12000+(12000*6%)</f>
        <v>12720</v>
      </c>
      <c r="F26" s="13">
        <v>2</v>
      </c>
      <c r="G26" s="12">
        <f t="shared" si="0"/>
        <v>25440</v>
      </c>
      <c r="H26" s="14">
        <v>0.5</v>
      </c>
      <c r="I26" s="12">
        <f t="shared" si="1"/>
        <v>12700</v>
      </c>
      <c r="J26" s="15"/>
      <c r="K26" s="15"/>
    </row>
    <row r="27" spans="1:11">
      <c r="A27" s="5">
        <v>24</v>
      </c>
      <c r="B27" s="5" t="s">
        <v>13</v>
      </c>
      <c r="C27" s="5" t="s">
        <v>87</v>
      </c>
      <c r="D27" s="5" t="s">
        <v>20</v>
      </c>
      <c r="E27" s="12">
        <f>12000+(12000*6%)</f>
        <v>12720</v>
      </c>
      <c r="F27" s="13">
        <v>2</v>
      </c>
      <c r="G27" s="12">
        <f t="shared" si="0"/>
        <v>25440</v>
      </c>
      <c r="H27" s="14">
        <v>0.5</v>
      </c>
      <c r="I27" s="12">
        <f t="shared" si="1"/>
        <v>12700</v>
      </c>
      <c r="J27" s="15"/>
      <c r="K27" s="15"/>
    </row>
    <row r="28" spans="1:11">
      <c r="A28" s="5">
        <v>25</v>
      </c>
      <c r="B28" s="5" t="s">
        <v>13</v>
      </c>
      <c r="C28" s="5" t="s">
        <v>55</v>
      </c>
      <c r="D28" s="5" t="s">
        <v>20</v>
      </c>
      <c r="E28" s="12">
        <f>15000+(15000*6%)</f>
        <v>15900</v>
      </c>
      <c r="F28" s="13">
        <v>1</v>
      </c>
      <c r="G28" s="12">
        <f t="shared" si="0"/>
        <v>15900</v>
      </c>
      <c r="H28" s="14">
        <v>0.5</v>
      </c>
      <c r="I28" s="12">
        <f t="shared" si="1"/>
        <v>7900</v>
      </c>
      <c r="J28" s="15"/>
      <c r="K28" s="15"/>
    </row>
    <row r="29" spans="1:11">
      <c r="A29" s="5">
        <v>26</v>
      </c>
      <c r="B29" s="5" t="s">
        <v>13</v>
      </c>
      <c r="C29" s="5" t="s">
        <v>33</v>
      </c>
      <c r="D29" s="5" t="s">
        <v>20</v>
      </c>
      <c r="E29" s="12">
        <f>12000+(12000*6%)</f>
        <v>12720</v>
      </c>
      <c r="F29" s="13">
        <v>1</v>
      </c>
      <c r="G29" s="12">
        <f t="shared" si="0"/>
        <v>12720</v>
      </c>
      <c r="H29" s="14">
        <v>0.5</v>
      </c>
      <c r="I29" s="12">
        <f t="shared" si="1"/>
        <v>6300</v>
      </c>
      <c r="J29" s="15"/>
      <c r="K29" s="15"/>
    </row>
    <row r="30" spans="1:11">
      <c r="A30" s="5">
        <v>27</v>
      </c>
      <c r="B30" s="5" t="s">
        <v>13</v>
      </c>
      <c r="C30" s="5" t="s">
        <v>129</v>
      </c>
      <c r="D30" s="5" t="s">
        <v>20</v>
      </c>
      <c r="E30" s="12">
        <f>12000+(12000*6%)</f>
        <v>12720</v>
      </c>
      <c r="F30" s="13">
        <v>1</v>
      </c>
      <c r="G30" s="12">
        <f t="shared" si="0"/>
        <v>12720</v>
      </c>
      <c r="H30" s="14">
        <v>0.5</v>
      </c>
      <c r="I30" s="12">
        <f t="shared" si="1"/>
        <v>6300</v>
      </c>
      <c r="J30" s="15"/>
      <c r="K30" s="15"/>
    </row>
    <row r="31" spans="1:11">
      <c r="A31" s="5">
        <v>28</v>
      </c>
      <c r="B31" s="5" t="s">
        <v>13</v>
      </c>
      <c r="C31" s="5" t="s">
        <v>32</v>
      </c>
      <c r="D31" s="5" t="s">
        <v>20</v>
      </c>
      <c r="E31" s="12">
        <f>12000+(12000*6%)</f>
        <v>12720</v>
      </c>
      <c r="F31" s="13">
        <v>2</v>
      </c>
      <c r="G31" s="12">
        <f t="shared" si="0"/>
        <v>25440</v>
      </c>
      <c r="H31" s="14">
        <v>0.5</v>
      </c>
      <c r="I31" s="12">
        <f t="shared" si="1"/>
        <v>12700</v>
      </c>
      <c r="J31" s="15"/>
      <c r="K31" s="15"/>
    </row>
    <row r="32" spans="1:11">
      <c r="A32" s="5">
        <v>29</v>
      </c>
      <c r="B32" s="5" t="s">
        <v>13</v>
      </c>
      <c r="C32" s="5" t="s">
        <v>56</v>
      </c>
      <c r="D32" s="5" t="s">
        <v>30</v>
      </c>
      <c r="E32" s="12">
        <f>16800</f>
        <v>16800</v>
      </c>
      <c r="F32" s="13">
        <v>1</v>
      </c>
      <c r="G32" s="12">
        <f t="shared" si="0"/>
        <v>16800</v>
      </c>
      <c r="H32" s="14">
        <v>0.5</v>
      </c>
      <c r="I32" s="12">
        <f t="shared" si="1"/>
        <v>8400</v>
      </c>
      <c r="J32" s="15"/>
      <c r="K32" s="15"/>
    </row>
    <row r="33" spans="1:11">
      <c r="A33" s="5">
        <v>30</v>
      </c>
      <c r="B33" s="5" t="s">
        <v>13</v>
      </c>
      <c r="C33" s="5" t="s">
        <v>119</v>
      </c>
      <c r="D33" s="5" t="s">
        <v>15</v>
      </c>
      <c r="E33" s="12">
        <f>10400</f>
        <v>10400</v>
      </c>
      <c r="F33" s="13">
        <v>2</v>
      </c>
      <c r="G33" s="12">
        <f t="shared" si="0"/>
        <v>20800</v>
      </c>
      <c r="H33" s="14">
        <v>0.5</v>
      </c>
      <c r="I33" s="12">
        <f t="shared" si="1"/>
        <v>10400</v>
      </c>
      <c r="J33" s="15"/>
      <c r="K33" s="15"/>
    </row>
    <row r="34" spans="1:11">
      <c r="A34" s="5">
        <v>31</v>
      </c>
      <c r="B34" s="5" t="s">
        <v>13</v>
      </c>
      <c r="C34" s="5" t="s">
        <v>138</v>
      </c>
      <c r="D34" s="5" t="s">
        <v>20</v>
      </c>
      <c r="E34" s="12">
        <f>12000+(12000*6%)</f>
        <v>12720</v>
      </c>
      <c r="F34" s="13">
        <v>1</v>
      </c>
      <c r="G34" s="12">
        <f t="shared" si="0"/>
        <v>12720</v>
      </c>
      <c r="H34" s="14">
        <v>0.5</v>
      </c>
      <c r="I34" s="12">
        <f t="shared" si="1"/>
        <v>6300</v>
      </c>
      <c r="J34" s="15"/>
      <c r="K34" s="15"/>
    </row>
    <row r="35" spans="1:11">
      <c r="A35" s="5">
        <v>32</v>
      </c>
      <c r="B35" s="5" t="s">
        <v>13</v>
      </c>
      <c r="C35" s="5" t="s">
        <v>97</v>
      </c>
      <c r="D35" s="5" t="s">
        <v>20</v>
      </c>
      <c r="E35" s="12">
        <f>12000+(12000*6%)</f>
        <v>12720</v>
      </c>
      <c r="F35" s="13">
        <v>2</v>
      </c>
      <c r="G35" s="12">
        <f t="shared" si="0"/>
        <v>25440</v>
      </c>
      <c r="H35" s="14">
        <v>0.5</v>
      </c>
      <c r="I35" s="12">
        <f t="shared" si="1"/>
        <v>12700</v>
      </c>
      <c r="J35" s="15"/>
      <c r="K35" s="15"/>
    </row>
    <row r="36" spans="1:11">
      <c r="A36" s="5">
        <v>33</v>
      </c>
      <c r="B36" s="5" t="s">
        <v>13</v>
      </c>
      <c r="C36" s="5" t="s">
        <v>141</v>
      </c>
      <c r="D36" s="5" t="s">
        <v>20</v>
      </c>
      <c r="E36" s="12">
        <f>2200*9</f>
        <v>19800</v>
      </c>
      <c r="F36" s="13">
        <v>2</v>
      </c>
      <c r="G36" s="12">
        <f t="shared" si="0"/>
        <v>39600</v>
      </c>
      <c r="H36" s="14">
        <v>0.5</v>
      </c>
      <c r="I36" s="12">
        <f t="shared" si="1"/>
        <v>19800</v>
      </c>
      <c r="J36" s="15"/>
      <c r="K36" s="15"/>
    </row>
    <row r="37" spans="1:11">
      <c r="A37" s="5">
        <v>34</v>
      </c>
      <c r="B37" s="5" t="s">
        <v>13</v>
      </c>
      <c r="C37" s="5" t="s">
        <v>194</v>
      </c>
      <c r="D37" s="5" t="s">
        <v>20</v>
      </c>
      <c r="E37" s="12">
        <f>2332*9</f>
        <v>20988</v>
      </c>
      <c r="F37" s="13">
        <v>2</v>
      </c>
      <c r="G37" s="12">
        <f t="shared" si="0"/>
        <v>41976</v>
      </c>
      <c r="H37" s="14">
        <v>0.5</v>
      </c>
      <c r="I37" s="12">
        <f t="shared" si="1"/>
        <v>20900</v>
      </c>
      <c r="J37" s="15"/>
      <c r="K37" s="15"/>
    </row>
    <row r="38" spans="1:11">
      <c r="A38" s="5">
        <v>35</v>
      </c>
      <c r="B38" s="5" t="s">
        <v>13</v>
      </c>
      <c r="C38" s="5" t="s">
        <v>243</v>
      </c>
      <c r="D38" s="5" t="s">
        <v>15</v>
      </c>
      <c r="E38" s="12">
        <v>10400</v>
      </c>
      <c r="F38" s="13">
        <v>2</v>
      </c>
      <c r="G38" s="12">
        <f t="shared" si="0"/>
        <v>20800</v>
      </c>
      <c r="H38" s="14">
        <v>0.5</v>
      </c>
      <c r="I38" s="12">
        <f t="shared" si="1"/>
        <v>10400</v>
      </c>
      <c r="J38" s="15"/>
      <c r="K38" s="15"/>
    </row>
    <row r="39" spans="1:11">
      <c r="A39" s="5">
        <v>36</v>
      </c>
      <c r="B39" s="5" t="s">
        <v>13</v>
      </c>
      <c r="C39" s="5" t="s">
        <v>80</v>
      </c>
      <c r="D39" s="5" t="s">
        <v>58</v>
      </c>
      <c r="E39" s="12">
        <f>18900</f>
        <v>18900</v>
      </c>
      <c r="F39" s="13">
        <v>1</v>
      </c>
      <c r="G39" s="12">
        <f t="shared" si="0"/>
        <v>18900</v>
      </c>
      <c r="H39" s="14">
        <v>0.5</v>
      </c>
      <c r="I39" s="12">
        <f t="shared" si="1"/>
        <v>9400</v>
      </c>
      <c r="J39" s="15"/>
      <c r="K39" s="15"/>
    </row>
    <row r="40" spans="1:11">
      <c r="A40" s="5">
        <v>37</v>
      </c>
      <c r="B40" s="5" t="s">
        <v>13</v>
      </c>
      <c r="C40" s="5" t="s">
        <v>69</v>
      </c>
      <c r="D40" s="5" t="s">
        <v>58</v>
      </c>
      <c r="E40" s="12">
        <f>28350</f>
        <v>28350</v>
      </c>
      <c r="F40" s="13">
        <v>1</v>
      </c>
      <c r="G40" s="12">
        <f t="shared" si="0"/>
        <v>28350</v>
      </c>
      <c r="H40" s="14">
        <v>0.5</v>
      </c>
      <c r="I40" s="12">
        <f t="shared" si="1"/>
        <v>14100</v>
      </c>
      <c r="J40" s="15"/>
      <c r="K40" s="15"/>
    </row>
    <row r="41" spans="1:11">
      <c r="A41" s="5">
        <v>38</v>
      </c>
      <c r="B41" s="5" t="s">
        <v>13</v>
      </c>
      <c r="C41" s="5" t="s">
        <v>185</v>
      </c>
      <c r="D41" s="5" t="s">
        <v>20</v>
      </c>
      <c r="E41" s="12">
        <f>12000*1.06</f>
        <v>12720</v>
      </c>
      <c r="F41" s="13">
        <v>2</v>
      </c>
      <c r="G41" s="12">
        <f t="shared" si="0"/>
        <v>25440</v>
      </c>
      <c r="H41" s="14">
        <v>0.5</v>
      </c>
      <c r="I41" s="12">
        <f t="shared" si="1"/>
        <v>12700</v>
      </c>
      <c r="J41" s="15"/>
      <c r="K41" s="15"/>
    </row>
    <row r="42" spans="1:11">
      <c r="A42" s="5">
        <v>39</v>
      </c>
      <c r="B42" s="5" t="s">
        <v>13</v>
      </c>
      <c r="C42" s="5" t="s">
        <v>81</v>
      </c>
      <c r="D42" s="5" t="s">
        <v>58</v>
      </c>
      <c r="E42" s="12">
        <f>83300/35*9</f>
        <v>21420</v>
      </c>
      <c r="F42" s="13">
        <v>2</v>
      </c>
      <c r="G42" s="12">
        <f t="shared" si="0"/>
        <v>42840</v>
      </c>
      <c r="H42" s="14">
        <v>0.5</v>
      </c>
      <c r="I42" s="12">
        <f t="shared" si="1"/>
        <v>21400</v>
      </c>
      <c r="J42" s="15"/>
      <c r="K42" s="15"/>
    </row>
    <row r="43" spans="1:11">
      <c r="A43" s="5">
        <v>40</v>
      </c>
      <c r="B43" s="5" t="s">
        <v>13</v>
      </c>
      <c r="C43" s="5" t="s">
        <v>53</v>
      </c>
      <c r="D43" s="5" t="s">
        <v>20</v>
      </c>
      <c r="E43" s="12">
        <f>12000+(12000*6%)</f>
        <v>12720</v>
      </c>
      <c r="F43" s="13">
        <v>2</v>
      </c>
      <c r="G43" s="12">
        <f t="shared" si="0"/>
        <v>25440</v>
      </c>
      <c r="H43" s="14">
        <v>0.5</v>
      </c>
      <c r="I43" s="12">
        <f t="shared" si="1"/>
        <v>12700</v>
      </c>
      <c r="J43" s="15"/>
      <c r="K43" s="15"/>
    </row>
    <row r="44" spans="1:11">
      <c r="A44" s="5">
        <v>41</v>
      </c>
      <c r="B44" s="5" t="s">
        <v>13</v>
      </c>
      <c r="C44" s="5" t="s">
        <v>108</v>
      </c>
      <c r="D44" s="5" t="s">
        <v>109</v>
      </c>
      <c r="E44" s="12">
        <f>32000</f>
        <v>32000</v>
      </c>
      <c r="F44" s="13">
        <v>1</v>
      </c>
      <c r="G44" s="12">
        <f t="shared" si="0"/>
        <v>32000</v>
      </c>
      <c r="H44" s="14">
        <v>0.5</v>
      </c>
      <c r="I44" s="12">
        <f t="shared" si="1"/>
        <v>16000</v>
      </c>
      <c r="J44" s="15"/>
      <c r="K44" s="15"/>
    </row>
    <row r="45" spans="1:11">
      <c r="A45" s="22"/>
      <c r="B45" s="22" t="s">
        <v>245</v>
      </c>
      <c r="C45" s="22"/>
      <c r="D45" s="22"/>
      <c r="E45" s="23"/>
      <c r="F45" s="68"/>
      <c r="G45" s="23">
        <f>SUM(G4:G44)</f>
        <v>1149138</v>
      </c>
      <c r="H45" s="23"/>
      <c r="I45" s="23">
        <f>SUM(I4:I44)</f>
        <v>573500</v>
      </c>
      <c r="J45" s="24"/>
      <c r="K45" s="24"/>
    </row>
    <row r="46" spans="1:11">
      <c r="A46" s="5">
        <v>42</v>
      </c>
      <c r="B46" s="5" t="s">
        <v>64</v>
      </c>
      <c r="C46" s="5" t="s">
        <v>78</v>
      </c>
      <c r="D46" s="5" t="s">
        <v>58</v>
      </c>
      <c r="E46" s="12">
        <f>37800/18*9</f>
        <v>18900</v>
      </c>
      <c r="F46" s="13">
        <v>2</v>
      </c>
      <c r="G46" s="12">
        <f>E46*F46</f>
        <v>37800</v>
      </c>
      <c r="H46" s="14">
        <v>0.5</v>
      </c>
      <c r="I46" s="12">
        <f>ROUNDDOWN(G46*H46,-2)</f>
        <v>18900</v>
      </c>
      <c r="J46" s="15"/>
      <c r="K46" s="15"/>
    </row>
    <row r="47" spans="1:11">
      <c r="A47" s="5">
        <v>43</v>
      </c>
      <c r="B47" s="5" t="s">
        <v>64</v>
      </c>
      <c r="C47" s="5" t="s">
        <v>65</v>
      </c>
      <c r="D47" s="5" t="s">
        <v>58</v>
      </c>
      <c r="E47" s="12">
        <f>121500/45*9</f>
        <v>24300</v>
      </c>
      <c r="F47" s="13">
        <v>2</v>
      </c>
      <c r="G47" s="12">
        <f>E47*F47</f>
        <v>48600</v>
      </c>
      <c r="H47" s="14">
        <v>0.5</v>
      </c>
      <c r="I47" s="12">
        <f>ROUNDDOWN(G47*H47,-2)</f>
        <v>24300</v>
      </c>
      <c r="J47" s="15"/>
      <c r="K47" s="15"/>
    </row>
    <row r="48" spans="1:11">
      <c r="A48" s="22"/>
      <c r="B48" s="22" t="s">
        <v>246</v>
      </c>
      <c r="C48" s="22"/>
      <c r="D48" s="22"/>
      <c r="E48" s="23"/>
      <c r="F48" s="68"/>
      <c r="G48" s="23">
        <f>SUM(G46:G47)</f>
        <v>86400</v>
      </c>
      <c r="H48" s="23"/>
      <c r="I48" s="23">
        <f>SUM(I46:I47)</f>
        <v>43200</v>
      </c>
      <c r="J48" s="24"/>
      <c r="K48" s="24"/>
    </row>
    <row r="49" spans="1:11">
      <c r="A49" s="5">
        <v>44</v>
      </c>
      <c r="B49" s="5" t="s">
        <v>51</v>
      </c>
      <c r="C49" s="5" t="s">
        <v>142</v>
      </c>
      <c r="D49" s="5" t="s">
        <v>131</v>
      </c>
      <c r="E49" s="12">
        <f>19800</f>
        <v>19800</v>
      </c>
      <c r="F49" s="13">
        <v>2</v>
      </c>
      <c r="G49" s="12">
        <f>E49*F49</f>
        <v>39600</v>
      </c>
      <c r="H49" s="14">
        <v>0.5</v>
      </c>
      <c r="I49" s="12">
        <f>ROUNDDOWN(G49*H49,-2)</f>
        <v>19800</v>
      </c>
      <c r="J49" s="15"/>
      <c r="K49" s="15"/>
    </row>
    <row r="50" spans="1:11">
      <c r="A50" s="5">
        <v>45</v>
      </c>
      <c r="B50" s="5" t="s">
        <v>51</v>
      </c>
      <c r="C50" s="5" t="s">
        <v>183</v>
      </c>
      <c r="D50" s="5" t="s">
        <v>15</v>
      </c>
      <c r="E50" s="12">
        <f>10400</f>
        <v>10400</v>
      </c>
      <c r="F50" s="13">
        <v>2</v>
      </c>
      <c r="G50" s="12">
        <f>E50*F50</f>
        <v>20800</v>
      </c>
      <c r="H50" s="14">
        <v>0.5</v>
      </c>
      <c r="I50" s="12">
        <f>ROUNDDOWN(G50*H50,-2)</f>
        <v>10400</v>
      </c>
      <c r="J50" s="15"/>
      <c r="K50" s="15"/>
    </row>
    <row r="51" spans="1:11">
      <c r="A51" s="5">
        <v>46</v>
      </c>
      <c r="B51" s="5" t="s">
        <v>51</v>
      </c>
      <c r="C51" s="5" t="s">
        <v>52</v>
      </c>
      <c r="D51" s="5" t="s">
        <v>20</v>
      </c>
      <c r="E51" s="12">
        <f>83952/36*9</f>
        <v>20988</v>
      </c>
      <c r="F51" s="13">
        <v>2</v>
      </c>
      <c r="G51" s="12">
        <f>E51*F51</f>
        <v>41976</v>
      </c>
      <c r="H51" s="14">
        <v>0.5</v>
      </c>
      <c r="I51" s="12">
        <f>ROUNDDOWN(G51*H51,-2)</f>
        <v>20900</v>
      </c>
      <c r="J51" s="15"/>
      <c r="K51" s="15"/>
    </row>
    <row r="52" spans="1:11">
      <c r="A52" s="22"/>
      <c r="B52" s="22" t="s">
        <v>247</v>
      </c>
      <c r="C52" s="22"/>
      <c r="D52" s="22"/>
      <c r="E52" s="23"/>
      <c r="F52" s="68"/>
      <c r="G52" s="23">
        <f>SUM(G49:G51)</f>
        <v>102376</v>
      </c>
      <c r="H52" s="23"/>
      <c r="I52" s="23">
        <f>SUM(I49:I51)</f>
        <v>51100</v>
      </c>
      <c r="J52" s="24"/>
      <c r="K52" s="24"/>
    </row>
    <row r="53" spans="1:11">
      <c r="A53" s="5">
        <v>47</v>
      </c>
      <c r="B53" s="5" t="s">
        <v>112</v>
      </c>
      <c r="C53" s="5" t="s">
        <v>239</v>
      </c>
      <c r="D53" s="5" t="s">
        <v>180</v>
      </c>
      <c r="E53" s="12">
        <v>27000</v>
      </c>
      <c r="F53" s="13">
        <v>2</v>
      </c>
      <c r="G53" s="12">
        <f t="shared" ref="G53:G59" si="2">E53*F53</f>
        <v>54000</v>
      </c>
      <c r="H53" s="14">
        <v>0.5</v>
      </c>
      <c r="I53" s="12">
        <f t="shared" ref="I53:I59" si="3">ROUNDDOWN(G53*H53,-2)</f>
        <v>27000</v>
      </c>
      <c r="J53" s="15"/>
      <c r="K53" s="15"/>
    </row>
    <row r="54" spans="1:11">
      <c r="A54" s="5">
        <v>48</v>
      </c>
      <c r="B54" s="5" t="s">
        <v>112</v>
      </c>
      <c r="C54" s="5" t="s">
        <v>197</v>
      </c>
      <c r="D54" s="5" t="s">
        <v>15</v>
      </c>
      <c r="E54" s="12">
        <f>(40768-0)/4</f>
        <v>10192</v>
      </c>
      <c r="F54" s="13">
        <v>2</v>
      </c>
      <c r="G54" s="12">
        <f t="shared" si="2"/>
        <v>20384</v>
      </c>
      <c r="H54" s="14">
        <v>0.5</v>
      </c>
      <c r="I54" s="12">
        <f t="shared" si="3"/>
        <v>10100</v>
      </c>
      <c r="J54" s="15"/>
      <c r="K54" s="15"/>
    </row>
    <row r="55" spans="1:11">
      <c r="A55" s="5">
        <v>49</v>
      </c>
      <c r="B55" s="5" t="s">
        <v>112</v>
      </c>
      <c r="C55" s="5" t="s">
        <v>137</v>
      </c>
      <c r="D55" s="5" t="s">
        <v>131</v>
      </c>
      <c r="E55" s="12">
        <f>39600/18*9</f>
        <v>19800</v>
      </c>
      <c r="F55" s="13">
        <v>2</v>
      </c>
      <c r="G55" s="12">
        <f t="shared" si="2"/>
        <v>39600</v>
      </c>
      <c r="H55" s="14">
        <v>0.5</v>
      </c>
      <c r="I55" s="12">
        <f t="shared" si="3"/>
        <v>19800</v>
      </c>
      <c r="J55" s="15"/>
      <c r="K55" s="15"/>
    </row>
    <row r="56" spans="1:11">
      <c r="A56" s="5">
        <v>50</v>
      </c>
      <c r="B56" s="5" t="s">
        <v>112</v>
      </c>
      <c r="C56" s="5" t="s">
        <v>137</v>
      </c>
      <c r="D56" s="5" t="s">
        <v>180</v>
      </c>
      <c r="E56" s="12">
        <v>27000</v>
      </c>
      <c r="F56" s="13">
        <v>2</v>
      </c>
      <c r="G56" s="12">
        <f t="shared" si="2"/>
        <v>54000</v>
      </c>
      <c r="H56" s="14">
        <v>0.5</v>
      </c>
      <c r="I56" s="12">
        <f t="shared" si="3"/>
        <v>27000</v>
      </c>
      <c r="J56" s="15"/>
      <c r="K56" s="15"/>
    </row>
    <row r="57" spans="1:11">
      <c r="A57" s="5">
        <v>51</v>
      </c>
      <c r="B57" s="5" t="s">
        <v>112</v>
      </c>
      <c r="C57" s="5" t="s">
        <v>113</v>
      </c>
      <c r="D57" s="5" t="s">
        <v>20</v>
      </c>
      <c r="E57" s="12">
        <f>12000+(12000*6%)</f>
        <v>12720</v>
      </c>
      <c r="F57" s="13">
        <v>1</v>
      </c>
      <c r="G57" s="12">
        <f t="shared" si="2"/>
        <v>12720</v>
      </c>
      <c r="H57" s="14">
        <v>0.5</v>
      </c>
      <c r="I57" s="12">
        <f t="shared" si="3"/>
        <v>6300</v>
      </c>
      <c r="J57" s="15"/>
      <c r="K57" s="15"/>
    </row>
    <row r="58" spans="1:11">
      <c r="A58" s="5">
        <v>52</v>
      </c>
      <c r="B58" s="5" t="s">
        <v>112</v>
      </c>
      <c r="C58" s="5" t="s">
        <v>187</v>
      </c>
      <c r="D58" s="5" t="s">
        <v>20</v>
      </c>
      <c r="E58" s="12">
        <f>12000*1.06</f>
        <v>12720</v>
      </c>
      <c r="F58" s="13">
        <v>1</v>
      </c>
      <c r="G58" s="12">
        <f t="shared" si="2"/>
        <v>12720</v>
      </c>
      <c r="H58" s="14">
        <v>0.5</v>
      </c>
      <c r="I58" s="12">
        <f t="shared" si="3"/>
        <v>6300</v>
      </c>
      <c r="J58" s="15"/>
      <c r="K58" s="15"/>
    </row>
    <row r="59" spans="1:11">
      <c r="A59" s="5">
        <v>53</v>
      </c>
      <c r="B59" s="5" t="s">
        <v>112</v>
      </c>
      <c r="C59" s="5" t="s">
        <v>172</v>
      </c>
      <c r="D59" s="5" t="s">
        <v>20</v>
      </c>
      <c r="E59" s="12">
        <f>12000+(12000*6%)</f>
        <v>12720</v>
      </c>
      <c r="F59" s="13">
        <v>2</v>
      </c>
      <c r="G59" s="12">
        <f t="shared" si="2"/>
        <v>25440</v>
      </c>
      <c r="H59" s="14">
        <v>0.5</v>
      </c>
      <c r="I59" s="12">
        <f t="shared" si="3"/>
        <v>12700</v>
      </c>
      <c r="J59" s="15"/>
      <c r="K59" s="15"/>
    </row>
    <row r="60" spans="1:11">
      <c r="A60" s="22"/>
      <c r="B60" s="22" t="s">
        <v>248</v>
      </c>
      <c r="C60" s="22"/>
      <c r="D60" s="22"/>
      <c r="E60" s="23"/>
      <c r="F60" s="68"/>
      <c r="G60" s="23">
        <f>SUM(G53:G59)</f>
        <v>218864</v>
      </c>
      <c r="H60" s="23"/>
      <c r="I60" s="23">
        <f>SUM(I53:I59)</f>
        <v>109200</v>
      </c>
      <c r="J60" s="24"/>
      <c r="K60" s="24"/>
    </row>
    <row r="61" spans="1:11">
      <c r="A61" s="5">
        <v>54</v>
      </c>
      <c r="B61" s="5" t="s">
        <v>59</v>
      </c>
      <c r="C61" s="5" t="s">
        <v>130</v>
      </c>
      <c r="D61" s="5" t="s">
        <v>131</v>
      </c>
      <c r="E61" s="12">
        <f>19800</f>
        <v>19800</v>
      </c>
      <c r="F61" s="13">
        <v>1</v>
      </c>
      <c r="G61" s="12">
        <f>E61*F61</f>
        <v>19800</v>
      </c>
      <c r="H61" s="14">
        <v>0.5</v>
      </c>
      <c r="I61" s="12">
        <f>ROUNDDOWN(G61*H61,-2)</f>
        <v>9900</v>
      </c>
      <c r="J61" s="15"/>
      <c r="K61" s="15"/>
    </row>
    <row r="62" spans="1:11">
      <c r="A62" s="5">
        <v>55</v>
      </c>
      <c r="B62" s="5" t="s">
        <v>59</v>
      </c>
      <c r="C62" s="5" t="s">
        <v>92</v>
      </c>
      <c r="D62" s="5" t="s">
        <v>30</v>
      </c>
      <c r="E62" s="12">
        <f>16800</f>
        <v>16800</v>
      </c>
      <c r="F62" s="13">
        <v>1</v>
      </c>
      <c r="G62" s="12">
        <f>E62*F62</f>
        <v>16800</v>
      </c>
      <c r="H62" s="14">
        <v>0.5</v>
      </c>
      <c r="I62" s="12">
        <f>ROUNDDOWN(G62*H62,-2)</f>
        <v>8400</v>
      </c>
      <c r="J62" s="15"/>
      <c r="K62" s="15"/>
    </row>
    <row r="63" spans="1:11">
      <c r="A63" s="5">
        <v>56</v>
      </c>
      <c r="B63" s="5" t="s">
        <v>59</v>
      </c>
      <c r="C63" s="5" t="s">
        <v>60</v>
      </c>
      <c r="D63" s="5" t="s">
        <v>58</v>
      </c>
      <c r="E63" s="12">
        <f>95200/40*9</f>
        <v>21420</v>
      </c>
      <c r="F63" s="13">
        <v>2</v>
      </c>
      <c r="G63" s="12">
        <f>E63*F63</f>
        <v>42840</v>
      </c>
      <c r="H63" s="14">
        <v>0.5</v>
      </c>
      <c r="I63" s="12">
        <f>ROUNDDOWN(G63*H63,-2)</f>
        <v>21400</v>
      </c>
      <c r="J63" s="15"/>
      <c r="K63" s="15"/>
    </row>
    <row r="64" spans="1:11">
      <c r="A64" s="5">
        <v>57</v>
      </c>
      <c r="B64" s="5" t="s">
        <v>59</v>
      </c>
      <c r="C64" s="5" t="s">
        <v>93</v>
      </c>
      <c r="D64" s="5" t="s">
        <v>30</v>
      </c>
      <c r="E64" s="12">
        <f>16800</f>
        <v>16800</v>
      </c>
      <c r="F64" s="13">
        <v>2</v>
      </c>
      <c r="G64" s="12">
        <f>E64*F64</f>
        <v>33600</v>
      </c>
      <c r="H64" s="14">
        <v>0.5</v>
      </c>
      <c r="I64" s="12">
        <f>ROUNDDOWN(G64*H64,-2)</f>
        <v>16800</v>
      </c>
      <c r="J64" s="15"/>
      <c r="K64" s="15"/>
    </row>
    <row r="65" spans="1:11">
      <c r="A65" s="5">
        <v>58</v>
      </c>
      <c r="B65" s="5" t="s">
        <v>59</v>
      </c>
      <c r="C65" s="5" t="s">
        <v>140</v>
      </c>
      <c r="D65" s="5" t="s">
        <v>30</v>
      </c>
      <c r="E65" s="12">
        <f>16800</f>
        <v>16800</v>
      </c>
      <c r="F65" s="13">
        <v>2</v>
      </c>
      <c r="G65" s="12">
        <f>E65*F65</f>
        <v>33600</v>
      </c>
      <c r="H65" s="14">
        <v>0.5</v>
      </c>
      <c r="I65" s="12">
        <f>ROUNDDOWN(G65*H65,-2)</f>
        <v>16800</v>
      </c>
      <c r="J65" s="15"/>
      <c r="K65" s="15"/>
    </row>
    <row r="66" spans="1:11">
      <c r="A66" s="22"/>
      <c r="B66" s="22" t="s">
        <v>249</v>
      </c>
      <c r="C66" s="22"/>
      <c r="D66" s="22"/>
      <c r="E66" s="23"/>
      <c r="F66" s="68"/>
      <c r="G66" s="23">
        <f>SUM(G61:G65)</f>
        <v>146640</v>
      </c>
      <c r="H66" s="23"/>
      <c r="I66" s="23">
        <f>SUM(I61:I65)</f>
        <v>73300</v>
      </c>
      <c r="J66" s="24"/>
      <c r="K66" s="24"/>
    </row>
    <row r="67" spans="1:11">
      <c r="A67" s="5">
        <v>59</v>
      </c>
      <c r="B67" s="5" t="s">
        <v>61</v>
      </c>
      <c r="C67" s="5" t="s">
        <v>79</v>
      </c>
      <c r="D67" s="5" t="s">
        <v>58</v>
      </c>
      <c r="E67" s="12">
        <f>18900</f>
        <v>18900</v>
      </c>
      <c r="F67" s="13">
        <v>1</v>
      </c>
      <c r="G67" s="12">
        <f t="shared" ref="G67:G72" si="4">E67*F67</f>
        <v>18900</v>
      </c>
      <c r="H67" s="14">
        <v>0.5</v>
      </c>
      <c r="I67" s="12">
        <f t="shared" ref="I67:I72" si="5">ROUNDDOWN(G67*H67,-2)</f>
        <v>9400</v>
      </c>
      <c r="J67" s="15"/>
      <c r="K67" s="15"/>
    </row>
    <row r="68" spans="1:11">
      <c r="A68" s="5">
        <v>60</v>
      </c>
      <c r="B68" s="5" t="s">
        <v>61</v>
      </c>
      <c r="C68" s="5" t="s">
        <v>86</v>
      </c>
      <c r="D68" s="5" t="s">
        <v>20</v>
      </c>
      <c r="E68" s="12">
        <f>15900</f>
        <v>15900</v>
      </c>
      <c r="F68" s="13">
        <v>1</v>
      </c>
      <c r="G68" s="12">
        <f t="shared" si="4"/>
        <v>15900</v>
      </c>
      <c r="H68" s="14">
        <v>0.5</v>
      </c>
      <c r="I68" s="12">
        <f t="shared" si="5"/>
        <v>7900</v>
      </c>
      <c r="J68" s="15"/>
      <c r="K68" s="15"/>
    </row>
    <row r="69" spans="1:11">
      <c r="A69" s="5">
        <v>61</v>
      </c>
      <c r="B69" s="5" t="s">
        <v>61</v>
      </c>
      <c r="C69" s="5" t="s">
        <v>121</v>
      </c>
      <c r="D69" s="5" t="s">
        <v>20</v>
      </c>
      <c r="E69" s="12">
        <f>83952/36*9</f>
        <v>20988</v>
      </c>
      <c r="F69" s="13">
        <v>2</v>
      </c>
      <c r="G69" s="12">
        <f t="shared" si="4"/>
        <v>41976</v>
      </c>
      <c r="H69" s="14">
        <v>0.7</v>
      </c>
      <c r="I69" s="12">
        <f t="shared" si="5"/>
        <v>29300</v>
      </c>
      <c r="J69" s="15"/>
      <c r="K69" s="15"/>
    </row>
    <row r="70" spans="1:11">
      <c r="A70" s="5">
        <v>62</v>
      </c>
      <c r="B70" s="5" t="s">
        <v>61</v>
      </c>
      <c r="C70" s="5" t="s">
        <v>173</v>
      </c>
      <c r="D70" s="5" t="s">
        <v>20</v>
      </c>
      <c r="E70" s="12">
        <f>2332*9</f>
        <v>20988</v>
      </c>
      <c r="F70" s="13">
        <v>2</v>
      </c>
      <c r="G70" s="12">
        <f t="shared" si="4"/>
        <v>41976</v>
      </c>
      <c r="H70" s="14">
        <v>0.5</v>
      </c>
      <c r="I70" s="12">
        <f t="shared" si="5"/>
        <v>20900</v>
      </c>
      <c r="J70" s="15"/>
      <c r="K70" s="15"/>
    </row>
    <row r="71" spans="1:11">
      <c r="A71" s="5">
        <v>63</v>
      </c>
      <c r="B71" s="5" t="s">
        <v>61</v>
      </c>
      <c r="C71" s="5" t="s">
        <v>125</v>
      </c>
      <c r="D71" s="5" t="s">
        <v>30</v>
      </c>
      <c r="E71" s="12">
        <f>16800</f>
        <v>16800</v>
      </c>
      <c r="F71" s="13">
        <v>1</v>
      </c>
      <c r="G71" s="12">
        <f t="shared" si="4"/>
        <v>16800</v>
      </c>
      <c r="H71" s="14">
        <v>0.5</v>
      </c>
      <c r="I71" s="12">
        <f t="shared" si="5"/>
        <v>8400</v>
      </c>
      <c r="J71" s="15"/>
      <c r="K71" s="15"/>
    </row>
    <row r="72" spans="1:11">
      <c r="A72" s="5">
        <v>64</v>
      </c>
      <c r="B72" s="5" t="s">
        <v>61</v>
      </c>
      <c r="C72" s="5" t="s">
        <v>62</v>
      </c>
      <c r="D72" s="5" t="s">
        <v>58</v>
      </c>
      <c r="E72" s="12">
        <f>156240/63*9</f>
        <v>22320</v>
      </c>
      <c r="F72" s="13">
        <v>2</v>
      </c>
      <c r="G72" s="12">
        <f t="shared" si="4"/>
        <v>44640</v>
      </c>
      <c r="H72" s="14">
        <v>0.5</v>
      </c>
      <c r="I72" s="12">
        <f t="shared" si="5"/>
        <v>22300</v>
      </c>
      <c r="J72" s="15"/>
      <c r="K72" s="15"/>
    </row>
    <row r="73" spans="1:11">
      <c r="A73" s="22"/>
      <c r="B73" s="22" t="s">
        <v>250</v>
      </c>
      <c r="C73" s="22"/>
      <c r="D73" s="22"/>
      <c r="E73" s="23"/>
      <c r="F73" s="68"/>
      <c r="G73" s="23">
        <f>SUM(G67:G72)</f>
        <v>180192</v>
      </c>
      <c r="H73" s="23"/>
      <c r="I73" s="23">
        <f>SUM(I67:I72)</f>
        <v>98200</v>
      </c>
      <c r="J73" s="24"/>
      <c r="K73" s="24"/>
    </row>
    <row r="74" spans="1:11">
      <c r="A74" s="5">
        <v>65</v>
      </c>
      <c r="B74" s="5" t="s">
        <v>75</v>
      </c>
      <c r="C74" s="5" t="s">
        <v>76</v>
      </c>
      <c r="D74" s="5" t="s">
        <v>58</v>
      </c>
      <c r="E74" s="12">
        <f>103872/48*9</f>
        <v>19476</v>
      </c>
      <c r="F74" s="13">
        <v>2</v>
      </c>
      <c r="G74" s="12">
        <f>E74*F74</f>
        <v>38952</v>
      </c>
      <c r="H74" s="14">
        <v>0.5</v>
      </c>
      <c r="I74" s="12">
        <f>ROUNDDOWN(G74*H74,-2)</f>
        <v>19400</v>
      </c>
      <c r="J74" s="15"/>
      <c r="K74" s="15"/>
    </row>
    <row r="75" spans="1:11">
      <c r="A75" s="5">
        <v>66</v>
      </c>
      <c r="B75" s="5" t="s">
        <v>75</v>
      </c>
      <c r="C75" s="5" t="s">
        <v>154</v>
      </c>
      <c r="D75" s="5" t="s">
        <v>15</v>
      </c>
      <c r="E75" s="12">
        <v>10400</v>
      </c>
      <c r="F75" s="13">
        <v>2</v>
      </c>
      <c r="G75" s="12">
        <f>E75*F75</f>
        <v>20800</v>
      </c>
      <c r="H75" s="14">
        <v>0.5</v>
      </c>
      <c r="I75" s="12">
        <f>ROUNDDOWN(G75*H75,-2)</f>
        <v>10400</v>
      </c>
      <c r="J75" s="15"/>
      <c r="K75" s="15"/>
    </row>
    <row r="76" spans="1:11">
      <c r="A76" s="5">
        <v>67</v>
      </c>
      <c r="B76" s="5" t="s">
        <v>75</v>
      </c>
      <c r="C76" s="5" t="s">
        <v>145</v>
      </c>
      <c r="D76" s="5" t="s">
        <v>20</v>
      </c>
      <c r="E76" s="12">
        <f>12000+(12000*6%)</f>
        <v>12720</v>
      </c>
      <c r="F76" s="13">
        <v>2</v>
      </c>
      <c r="G76" s="12">
        <f>E76*F76</f>
        <v>25440</v>
      </c>
      <c r="H76" s="14">
        <v>0.5</v>
      </c>
      <c r="I76" s="12">
        <f>ROUNDDOWN(G76*H76,-2)</f>
        <v>12700</v>
      </c>
      <c r="J76" s="15"/>
      <c r="K76" s="15"/>
    </row>
    <row r="77" spans="1:11">
      <c r="A77" s="22"/>
      <c r="B77" s="22" t="s">
        <v>251</v>
      </c>
      <c r="C77" s="22"/>
      <c r="D77" s="22"/>
      <c r="E77" s="23"/>
      <c r="F77" s="68"/>
      <c r="G77" s="23">
        <f>SUM(G74:G76)</f>
        <v>85192</v>
      </c>
      <c r="H77" s="23"/>
      <c r="I77" s="23">
        <f>SUM(I74:I76)</f>
        <v>42500</v>
      </c>
      <c r="J77" s="24"/>
      <c r="K77" s="24"/>
    </row>
    <row r="78" spans="1:11">
      <c r="A78" s="5">
        <v>68</v>
      </c>
      <c r="B78" s="5" t="s">
        <v>98</v>
      </c>
      <c r="C78" s="5" t="s">
        <v>106</v>
      </c>
      <c r="D78" s="5" t="s">
        <v>20</v>
      </c>
      <c r="E78" s="12">
        <f>12000+(12000*6%)</f>
        <v>12720</v>
      </c>
      <c r="F78" s="13">
        <v>2</v>
      </c>
      <c r="G78" s="12">
        <f t="shared" ref="G78:G84" si="6">E78*F78</f>
        <v>25440</v>
      </c>
      <c r="H78" s="14">
        <v>0.5</v>
      </c>
      <c r="I78" s="12">
        <f t="shared" ref="I78:I84" si="7">ROUNDDOWN(G78*H78,-2)</f>
        <v>12700</v>
      </c>
      <c r="J78" s="15"/>
      <c r="K78" s="15"/>
    </row>
    <row r="79" spans="1:11">
      <c r="A79" s="5">
        <v>69</v>
      </c>
      <c r="B79" s="5" t="s">
        <v>98</v>
      </c>
      <c r="C79" s="5" t="s">
        <v>99</v>
      </c>
      <c r="D79" s="5" t="s">
        <v>20</v>
      </c>
      <c r="E79" s="12">
        <f>12000+(12000*6%)</f>
        <v>12720</v>
      </c>
      <c r="F79" s="13">
        <v>2</v>
      </c>
      <c r="G79" s="12">
        <f t="shared" si="6"/>
        <v>25440</v>
      </c>
      <c r="H79" s="14">
        <v>0.5</v>
      </c>
      <c r="I79" s="12">
        <f t="shared" si="7"/>
        <v>12700</v>
      </c>
      <c r="J79" s="15"/>
      <c r="K79" s="15"/>
    </row>
    <row r="80" spans="1:11">
      <c r="A80" s="5">
        <v>70</v>
      </c>
      <c r="B80" s="5" t="s">
        <v>98</v>
      </c>
      <c r="C80" s="5" t="s">
        <v>135</v>
      </c>
      <c r="D80" s="5" t="s">
        <v>15</v>
      </c>
      <c r="E80" s="12">
        <f>153000/90*9</f>
        <v>15300</v>
      </c>
      <c r="F80" s="13">
        <v>2</v>
      </c>
      <c r="G80" s="12">
        <f t="shared" si="6"/>
        <v>30600</v>
      </c>
      <c r="H80" s="14">
        <v>0.5</v>
      </c>
      <c r="I80" s="12">
        <f t="shared" si="7"/>
        <v>15300</v>
      </c>
      <c r="J80" s="15"/>
      <c r="K80" s="15"/>
    </row>
    <row r="81" spans="1:11">
      <c r="A81" s="5">
        <v>71</v>
      </c>
      <c r="B81" s="5" t="s">
        <v>98</v>
      </c>
      <c r="C81" s="5" t="s">
        <v>176</v>
      </c>
      <c r="D81" s="5" t="s">
        <v>20</v>
      </c>
      <c r="E81" s="12">
        <f>12000+(12000*6%)</f>
        <v>12720</v>
      </c>
      <c r="F81" s="13">
        <v>1</v>
      </c>
      <c r="G81" s="12">
        <f t="shared" si="6"/>
        <v>12720</v>
      </c>
      <c r="H81" s="14">
        <v>0.5</v>
      </c>
      <c r="I81" s="12">
        <f t="shared" si="7"/>
        <v>6300</v>
      </c>
      <c r="J81" s="15"/>
      <c r="K81" s="15"/>
    </row>
    <row r="82" spans="1:11">
      <c r="A82" s="5">
        <v>72</v>
      </c>
      <c r="B82" s="5" t="s">
        <v>98</v>
      </c>
      <c r="C82" s="5" t="s">
        <v>102</v>
      </c>
      <c r="D82" s="5" t="s">
        <v>15</v>
      </c>
      <c r="E82" s="12">
        <f>136800/72*9</f>
        <v>17100</v>
      </c>
      <c r="F82" s="13">
        <v>2</v>
      </c>
      <c r="G82" s="12">
        <f t="shared" si="6"/>
        <v>34200</v>
      </c>
      <c r="H82" s="14">
        <v>0.5</v>
      </c>
      <c r="I82" s="12">
        <f t="shared" si="7"/>
        <v>17100</v>
      </c>
      <c r="J82" s="15"/>
      <c r="K82" s="15"/>
    </row>
    <row r="83" spans="1:11">
      <c r="A83" s="5">
        <v>73</v>
      </c>
      <c r="B83" s="5" t="s">
        <v>98</v>
      </c>
      <c r="C83" s="5" t="s">
        <v>104</v>
      </c>
      <c r="D83" s="5" t="s">
        <v>20</v>
      </c>
      <c r="E83" s="12">
        <f>12000+(12000*6%)</f>
        <v>12720</v>
      </c>
      <c r="F83" s="13">
        <v>2</v>
      </c>
      <c r="G83" s="12">
        <f t="shared" si="6"/>
        <v>25440</v>
      </c>
      <c r="H83" s="14">
        <v>0.5</v>
      </c>
      <c r="I83" s="12">
        <f t="shared" si="7"/>
        <v>12700</v>
      </c>
      <c r="J83" s="15"/>
      <c r="K83" s="15"/>
    </row>
    <row r="84" spans="1:11">
      <c r="A84" s="5">
        <v>74</v>
      </c>
      <c r="B84" s="5" t="s">
        <v>98</v>
      </c>
      <c r="C84" s="5" t="s">
        <v>150</v>
      </c>
      <c r="D84" s="5" t="s">
        <v>131</v>
      </c>
      <c r="E84" s="12">
        <f>19800</f>
        <v>19800</v>
      </c>
      <c r="F84" s="13">
        <v>2</v>
      </c>
      <c r="G84" s="12">
        <f t="shared" si="6"/>
        <v>39600</v>
      </c>
      <c r="H84" s="14">
        <v>0.5</v>
      </c>
      <c r="I84" s="12">
        <f t="shared" si="7"/>
        <v>19800</v>
      </c>
      <c r="J84" s="15"/>
      <c r="K84" s="15"/>
    </row>
    <row r="85" spans="1:11">
      <c r="A85" s="22"/>
      <c r="B85" s="22" t="s">
        <v>252</v>
      </c>
      <c r="C85" s="22"/>
      <c r="D85" s="22"/>
      <c r="E85" s="23"/>
      <c r="F85" s="68"/>
      <c r="G85" s="23">
        <f>SUM(G78:G84)</f>
        <v>193440</v>
      </c>
      <c r="H85" s="23"/>
      <c r="I85" s="23">
        <f>SUM(I78:I84)</f>
        <v>96600</v>
      </c>
      <c r="J85" s="24"/>
      <c r="K85" s="24"/>
    </row>
    <row r="86" spans="1:11">
      <c r="A86" s="5">
        <v>75</v>
      </c>
      <c r="B86" s="5" t="s">
        <v>23</v>
      </c>
      <c r="C86" s="5" t="s">
        <v>167</v>
      </c>
      <c r="D86" s="5" t="s">
        <v>20</v>
      </c>
      <c r="E86" s="12">
        <f>2332*9</f>
        <v>20988</v>
      </c>
      <c r="F86" s="13">
        <v>2</v>
      </c>
      <c r="G86" s="12">
        <f t="shared" ref="G86:G105" si="8">E86*F86</f>
        <v>41976</v>
      </c>
      <c r="H86" s="14">
        <v>0.5</v>
      </c>
      <c r="I86" s="12">
        <f t="shared" ref="I86:I105" si="9">ROUNDDOWN(G86*H86,-2)</f>
        <v>20900</v>
      </c>
      <c r="J86" s="15"/>
      <c r="K86" s="15"/>
    </row>
    <row r="87" spans="1:11">
      <c r="A87" s="5">
        <v>76</v>
      </c>
      <c r="B87" s="5" t="s">
        <v>23</v>
      </c>
      <c r="C87" s="5" t="s">
        <v>36</v>
      </c>
      <c r="D87" s="5" t="s">
        <v>15</v>
      </c>
      <c r="E87" s="12">
        <f>10400</f>
        <v>10400</v>
      </c>
      <c r="F87" s="13">
        <v>2</v>
      </c>
      <c r="G87" s="12">
        <f t="shared" si="8"/>
        <v>20800</v>
      </c>
      <c r="H87" s="14">
        <v>0.5</v>
      </c>
      <c r="I87" s="12">
        <f t="shared" si="9"/>
        <v>10400</v>
      </c>
      <c r="J87" s="15"/>
      <c r="K87" s="15"/>
    </row>
    <row r="88" spans="1:11">
      <c r="A88" s="5">
        <v>77</v>
      </c>
      <c r="B88" s="5" t="s">
        <v>23</v>
      </c>
      <c r="C88" s="5" t="s">
        <v>191</v>
      </c>
      <c r="D88" s="5" t="s">
        <v>131</v>
      </c>
      <c r="E88" s="12">
        <v>19800</v>
      </c>
      <c r="F88" s="13">
        <v>2</v>
      </c>
      <c r="G88" s="12">
        <f t="shared" si="8"/>
        <v>39600</v>
      </c>
      <c r="H88" s="14">
        <v>0.5</v>
      </c>
      <c r="I88" s="12">
        <f t="shared" si="9"/>
        <v>19800</v>
      </c>
      <c r="J88" s="15"/>
      <c r="K88" s="15"/>
    </row>
    <row r="89" spans="1:11">
      <c r="A89" s="5">
        <v>78</v>
      </c>
      <c r="B89" s="5" t="s">
        <v>23</v>
      </c>
      <c r="C89" s="5" t="s">
        <v>191</v>
      </c>
      <c r="D89" s="5" t="s">
        <v>180</v>
      </c>
      <c r="E89" s="12">
        <v>27000</v>
      </c>
      <c r="F89" s="13">
        <v>2</v>
      </c>
      <c r="G89" s="12">
        <f t="shared" si="8"/>
        <v>54000</v>
      </c>
      <c r="H89" s="14">
        <v>0.5</v>
      </c>
      <c r="I89" s="12">
        <f t="shared" si="9"/>
        <v>27000</v>
      </c>
      <c r="J89" s="15"/>
      <c r="K89" s="15"/>
    </row>
    <row r="90" spans="1:11">
      <c r="A90" s="5">
        <v>79</v>
      </c>
      <c r="B90" s="5" t="s">
        <v>23</v>
      </c>
      <c r="C90" s="5" t="s">
        <v>230</v>
      </c>
      <c r="D90" s="5" t="s">
        <v>131</v>
      </c>
      <c r="E90" s="12">
        <v>19800</v>
      </c>
      <c r="F90" s="13">
        <v>2</v>
      </c>
      <c r="G90" s="12">
        <f t="shared" si="8"/>
        <v>39600</v>
      </c>
      <c r="H90" s="14">
        <v>0.5</v>
      </c>
      <c r="I90" s="12">
        <f t="shared" si="9"/>
        <v>19800</v>
      </c>
      <c r="J90" s="15"/>
      <c r="K90" s="15"/>
    </row>
    <row r="91" spans="1:11">
      <c r="A91" s="5">
        <v>80</v>
      </c>
      <c r="B91" s="5" t="s">
        <v>23</v>
      </c>
      <c r="C91" s="5" t="s">
        <v>230</v>
      </c>
      <c r="D91" s="5" t="s">
        <v>180</v>
      </c>
      <c r="E91" s="12">
        <v>27000</v>
      </c>
      <c r="F91" s="13">
        <v>2</v>
      </c>
      <c r="G91" s="12">
        <f t="shared" si="8"/>
        <v>54000</v>
      </c>
      <c r="H91" s="14">
        <v>0.5</v>
      </c>
      <c r="I91" s="12">
        <f t="shared" si="9"/>
        <v>27000</v>
      </c>
      <c r="J91" s="15"/>
      <c r="K91" s="15"/>
    </row>
    <row r="92" spans="1:11">
      <c r="A92" s="5">
        <v>81</v>
      </c>
      <c r="B92" s="5" t="s">
        <v>23</v>
      </c>
      <c r="C92" s="5" t="s">
        <v>24</v>
      </c>
      <c r="D92" s="5" t="s">
        <v>20</v>
      </c>
      <c r="E92" s="12">
        <f>2200*9*1.06</f>
        <v>20988</v>
      </c>
      <c r="F92" s="13">
        <v>2</v>
      </c>
      <c r="G92" s="12">
        <f t="shared" si="8"/>
        <v>41976</v>
      </c>
      <c r="H92" s="14">
        <v>0.5</v>
      </c>
      <c r="I92" s="12">
        <f t="shared" si="9"/>
        <v>20900</v>
      </c>
      <c r="J92" s="15"/>
      <c r="K92" s="15"/>
    </row>
    <row r="93" spans="1:11">
      <c r="A93" s="5">
        <v>82</v>
      </c>
      <c r="B93" s="5" t="s">
        <v>23</v>
      </c>
      <c r="C93" s="5" t="s">
        <v>72</v>
      </c>
      <c r="D93" s="5" t="s">
        <v>58</v>
      </c>
      <c r="E93" s="12">
        <f>18900</f>
        <v>18900</v>
      </c>
      <c r="F93" s="13">
        <v>1</v>
      </c>
      <c r="G93" s="12">
        <f t="shared" si="8"/>
        <v>18900</v>
      </c>
      <c r="H93" s="14">
        <v>0.5</v>
      </c>
      <c r="I93" s="12">
        <f t="shared" si="9"/>
        <v>9400</v>
      </c>
      <c r="J93" s="15"/>
      <c r="K93" s="15"/>
    </row>
    <row r="94" spans="1:11">
      <c r="A94" s="5">
        <v>83</v>
      </c>
      <c r="B94" s="5" t="s">
        <v>23</v>
      </c>
      <c r="C94" s="5" t="s">
        <v>114</v>
      </c>
      <c r="D94" s="5" t="s">
        <v>20</v>
      </c>
      <c r="E94" s="12">
        <f>12000+(12000*6%)</f>
        <v>12720</v>
      </c>
      <c r="F94" s="13">
        <v>1</v>
      </c>
      <c r="G94" s="12">
        <f t="shared" si="8"/>
        <v>12720</v>
      </c>
      <c r="H94" s="14">
        <v>0.5</v>
      </c>
      <c r="I94" s="12">
        <f t="shared" si="9"/>
        <v>6300</v>
      </c>
      <c r="J94" s="15"/>
      <c r="K94" s="15"/>
    </row>
    <row r="95" spans="1:11">
      <c r="A95" s="5">
        <v>84</v>
      </c>
      <c r="B95" s="5" t="s">
        <v>23</v>
      </c>
      <c r="C95" s="5" t="s">
        <v>54</v>
      </c>
      <c r="D95" s="5" t="s">
        <v>15</v>
      </c>
      <c r="E95" s="12">
        <f>(51000)/6</f>
        <v>8500</v>
      </c>
      <c r="F95" s="13">
        <v>2</v>
      </c>
      <c r="G95" s="12">
        <f t="shared" si="8"/>
        <v>17000</v>
      </c>
      <c r="H95" s="14">
        <v>0.5</v>
      </c>
      <c r="I95" s="12">
        <f t="shared" si="9"/>
        <v>8500</v>
      </c>
      <c r="J95" s="15"/>
      <c r="K95" s="15"/>
    </row>
    <row r="96" spans="1:11">
      <c r="A96" s="5">
        <v>85</v>
      </c>
      <c r="B96" s="5" t="s">
        <v>23</v>
      </c>
      <c r="C96" s="5" t="s">
        <v>132</v>
      </c>
      <c r="D96" s="5" t="s">
        <v>131</v>
      </c>
      <c r="E96" s="12">
        <f>39600/18*9</f>
        <v>19800</v>
      </c>
      <c r="F96" s="13">
        <v>2</v>
      </c>
      <c r="G96" s="12">
        <f t="shared" si="8"/>
        <v>39600</v>
      </c>
      <c r="H96" s="14">
        <v>0.5</v>
      </c>
      <c r="I96" s="12">
        <f t="shared" si="9"/>
        <v>19800</v>
      </c>
      <c r="J96" s="15"/>
      <c r="K96" s="15"/>
    </row>
    <row r="97" spans="1:11">
      <c r="A97" s="5">
        <v>86</v>
      </c>
      <c r="B97" s="5" t="s">
        <v>23</v>
      </c>
      <c r="C97" s="5" t="s">
        <v>237</v>
      </c>
      <c r="D97" s="5" t="s">
        <v>180</v>
      </c>
      <c r="E97" s="12">
        <v>27000</v>
      </c>
      <c r="F97" s="13">
        <v>2</v>
      </c>
      <c r="G97" s="12">
        <f t="shared" si="8"/>
        <v>54000</v>
      </c>
      <c r="H97" s="14">
        <v>0.5</v>
      </c>
      <c r="I97" s="12">
        <f t="shared" si="9"/>
        <v>27000</v>
      </c>
      <c r="J97" s="15"/>
      <c r="K97" s="15"/>
    </row>
    <row r="98" spans="1:11">
      <c r="A98" s="5">
        <v>87</v>
      </c>
      <c r="B98" s="5" t="s">
        <v>23</v>
      </c>
      <c r="C98" s="5" t="s">
        <v>192</v>
      </c>
      <c r="D98" s="5" t="s">
        <v>123</v>
      </c>
      <c r="E98" s="12">
        <f>ROUND(19200/2,0)</f>
        <v>9600</v>
      </c>
      <c r="F98" s="13">
        <v>2</v>
      </c>
      <c r="G98" s="12">
        <f t="shared" si="8"/>
        <v>19200</v>
      </c>
      <c r="H98" s="14">
        <v>0.5</v>
      </c>
      <c r="I98" s="12">
        <f t="shared" si="9"/>
        <v>9600</v>
      </c>
      <c r="J98" s="15"/>
      <c r="K98" s="15"/>
    </row>
    <row r="99" spans="1:11">
      <c r="A99" s="5">
        <v>88</v>
      </c>
      <c r="B99" s="5" t="s">
        <v>23</v>
      </c>
      <c r="C99" s="5" t="s">
        <v>146</v>
      </c>
      <c r="D99" s="5" t="s">
        <v>20</v>
      </c>
      <c r="E99" s="12">
        <f>12000+(12000*6%)</f>
        <v>12720</v>
      </c>
      <c r="F99" s="13">
        <v>2</v>
      </c>
      <c r="G99" s="12">
        <f t="shared" si="8"/>
        <v>25440</v>
      </c>
      <c r="H99" s="14">
        <v>0.5</v>
      </c>
      <c r="I99" s="12">
        <f t="shared" si="9"/>
        <v>12700</v>
      </c>
      <c r="J99" s="15"/>
      <c r="K99" s="15"/>
    </row>
    <row r="100" spans="1:11">
      <c r="A100" s="5">
        <v>89</v>
      </c>
      <c r="B100" s="5" t="s">
        <v>23</v>
      </c>
      <c r="C100" s="5" t="s">
        <v>221</v>
      </c>
      <c r="D100" s="5" t="s">
        <v>180</v>
      </c>
      <c r="E100" s="12">
        <v>27000</v>
      </c>
      <c r="F100" s="13">
        <v>2</v>
      </c>
      <c r="G100" s="12">
        <f t="shared" si="8"/>
        <v>54000</v>
      </c>
      <c r="H100" s="14">
        <v>0.5</v>
      </c>
      <c r="I100" s="12">
        <f t="shared" si="9"/>
        <v>27000</v>
      </c>
      <c r="J100" s="15"/>
      <c r="K100" s="15"/>
    </row>
    <row r="101" spans="1:11">
      <c r="A101" s="5">
        <v>90</v>
      </c>
      <c r="B101" s="5" t="s">
        <v>23</v>
      </c>
      <c r="C101" s="5" t="s">
        <v>35</v>
      </c>
      <c r="D101" s="5" t="s">
        <v>15</v>
      </c>
      <c r="E101" s="12">
        <f>62400/6</f>
        <v>10400</v>
      </c>
      <c r="F101" s="13">
        <v>2</v>
      </c>
      <c r="G101" s="12">
        <f t="shared" si="8"/>
        <v>20800</v>
      </c>
      <c r="H101" s="14">
        <v>0.5</v>
      </c>
      <c r="I101" s="12">
        <f t="shared" si="9"/>
        <v>10400</v>
      </c>
      <c r="J101" s="15"/>
      <c r="K101" s="15"/>
    </row>
    <row r="102" spans="1:11">
      <c r="A102" s="5">
        <v>91</v>
      </c>
      <c r="B102" s="5" t="s">
        <v>23</v>
      </c>
      <c r="C102" s="5" t="s">
        <v>152</v>
      </c>
      <c r="D102" s="5" t="s">
        <v>15</v>
      </c>
      <c r="E102" s="12">
        <f>10400</f>
        <v>10400</v>
      </c>
      <c r="F102" s="13">
        <v>2</v>
      </c>
      <c r="G102" s="12">
        <f t="shared" si="8"/>
        <v>20800</v>
      </c>
      <c r="H102" s="14">
        <v>0.5</v>
      </c>
      <c r="I102" s="12">
        <f t="shared" si="9"/>
        <v>10400</v>
      </c>
      <c r="J102" s="15"/>
      <c r="K102" s="15"/>
    </row>
    <row r="103" spans="1:11">
      <c r="A103" s="5">
        <v>92</v>
      </c>
      <c r="B103" s="5" t="s">
        <v>23</v>
      </c>
      <c r="C103" s="5" t="s">
        <v>238</v>
      </c>
      <c r="D103" s="5" t="s">
        <v>180</v>
      </c>
      <c r="E103" s="12">
        <v>27000</v>
      </c>
      <c r="F103" s="13">
        <v>2</v>
      </c>
      <c r="G103" s="12">
        <f t="shared" si="8"/>
        <v>54000</v>
      </c>
      <c r="H103" s="14">
        <v>0.5</v>
      </c>
      <c r="I103" s="12">
        <f t="shared" si="9"/>
        <v>27000</v>
      </c>
      <c r="J103" s="15"/>
      <c r="K103" s="15"/>
    </row>
    <row r="104" spans="1:11">
      <c r="A104" s="5">
        <v>93</v>
      </c>
      <c r="B104" s="5" t="s">
        <v>23</v>
      </c>
      <c r="C104" s="5" t="s">
        <v>238</v>
      </c>
      <c r="D104" s="5" t="s">
        <v>131</v>
      </c>
      <c r="E104" s="12">
        <v>19800</v>
      </c>
      <c r="F104" s="13">
        <v>2</v>
      </c>
      <c r="G104" s="12">
        <f t="shared" si="8"/>
        <v>39600</v>
      </c>
      <c r="H104" s="14">
        <v>0.5</v>
      </c>
      <c r="I104" s="12">
        <f t="shared" si="9"/>
        <v>19800</v>
      </c>
      <c r="J104" s="15"/>
      <c r="K104" s="15"/>
    </row>
    <row r="105" spans="1:11">
      <c r="A105" s="5">
        <v>94</v>
      </c>
      <c r="B105" s="5" t="s">
        <v>23</v>
      </c>
      <c r="C105" s="5" t="s">
        <v>147</v>
      </c>
      <c r="D105" s="5" t="s">
        <v>15</v>
      </c>
      <c r="E105" s="12">
        <f>10400</f>
        <v>10400</v>
      </c>
      <c r="F105" s="13">
        <v>2</v>
      </c>
      <c r="G105" s="12">
        <f t="shared" si="8"/>
        <v>20800</v>
      </c>
      <c r="H105" s="14">
        <v>0.5</v>
      </c>
      <c r="I105" s="12">
        <f t="shared" si="9"/>
        <v>10400</v>
      </c>
      <c r="J105" s="15"/>
      <c r="K105" s="15"/>
    </row>
    <row r="106" spans="1:11">
      <c r="A106" s="22"/>
      <c r="B106" s="22" t="s">
        <v>253</v>
      </c>
      <c r="C106" s="22"/>
      <c r="D106" s="22"/>
      <c r="E106" s="23"/>
      <c r="F106" s="68"/>
      <c r="G106" s="23">
        <f>SUM(G86:G105)</f>
        <v>688812</v>
      </c>
      <c r="H106" s="23"/>
      <c r="I106" s="23">
        <f>SUM(I86:I105)</f>
        <v>344100</v>
      </c>
      <c r="J106" s="24"/>
      <c r="K106" s="24"/>
    </row>
    <row r="107" spans="1:11">
      <c r="A107" s="5">
        <v>95</v>
      </c>
      <c r="B107" s="5" t="s">
        <v>18</v>
      </c>
      <c r="C107" s="5" t="s">
        <v>27</v>
      </c>
      <c r="D107" s="5" t="s">
        <v>15</v>
      </c>
      <c r="E107" s="12">
        <f>(141000-0)/15</f>
        <v>9400</v>
      </c>
      <c r="F107" s="13">
        <v>2</v>
      </c>
      <c r="G107" s="12">
        <f t="shared" ref="G107:G122" si="10">E107*F107</f>
        <v>18800</v>
      </c>
      <c r="H107" s="14">
        <v>0.5</v>
      </c>
      <c r="I107" s="12">
        <f t="shared" ref="I107:I122" si="11">ROUNDDOWN(G107*H107,-2)</f>
        <v>9400</v>
      </c>
      <c r="J107" s="15"/>
      <c r="K107" s="15"/>
    </row>
    <row r="108" spans="1:11">
      <c r="A108" s="5">
        <v>96</v>
      </c>
      <c r="B108" s="5" t="s">
        <v>18</v>
      </c>
      <c r="C108" s="5" t="s">
        <v>190</v>
      </c>
      <c r="D108" s="5" t="s">
        <v>180</v>
      </c>
      <c r="E108" s="12">
        <v>27000</v>
      </c>
      <c r="F108" s="13">
        <v>2</v>
      </c>
      <c r="G108" s="12">
        <f t="shared" si="10"/>
        <v>54000</v>
      </c>
      <c r="H108" s="14">
        <v>0.5</v>
      </c>
      <c r="I108" s="12">
        <f t="shared" si="11"/>
        <v>27000</v>
      </c>
      <c r="J108" s="15"/>
      <c r="K108" s="15"/>
    </row>
    <row r="109" spans="1:11">
      <c r="A109" s="5">
        <v>97</v>
      </c>
      <c r="B109" s="5" t="s">
        <v>18</v>
      </c>
      <c r="C109" s="5" t="s">
        <v>63</v>
      </c>
      <c r="D109" s="5" t="s">
        <v>58</v>
      </c>
      <c r="E109" s="12">
        <f>260000/84*9</f>
        <v>27857.1428571429</v>
      </c>
      <c r="F109" s="13">
        <v>2</v>
      </c>
      <c r="G109" s="12">
        <f t="shared" si="10"/>
        <v>55714.2857142857</v>
      </c>
      <c r="H109" s="14">
        <v>0.5</v>
      </c>
      <c r="I109" s="12">
        <f t="shared" si="11"/>
        <v>27800</v>
      </c>
      <c r="J109" s="15"/>
      <c r="K109" s="15"/>
    </row>
    <row r="110" spans="1:11">
      <c r="A110" s="5">
        <v>98</v>
      </c>
      <c r="B110" s="5" t="s">
        <v>18</v>
      </c>
      <c r="C110" s="5" t="s">
        <v>219</v>
      </c>
      <c r="D110" s="5" t="s">
        <v>180</v>
      </c>
      <c r="E110" s="12">
        <v>27000</v>
      </c>
      <c r="F110" s="13">
        <v>2</v>
      </c>
      <c r="G110" s="12">
        <f t="shared" si="10"/>
        <v>54000</v>
      </c>
      <c r="H110" s="14">
        <v>0.5</v>
      </c>
      <c r="I110" s="12">
        <f t="shared" si="11"/>
        <v>27000</v>
      </c>
      <c r="J110" s="15"/>
      <c r="K110" s="15"/>
    </row>
    <row r="111" spans="1:11">
      <c r="A111" s="5">
        <v>99</v>
      </c>
      <c r="B111" s="5" t="s">
        <v>18</v>
      </c>
      <c r="C111" s="5" t="s">
        <v>19</v>
      </c>
      <c r="D111" s="5" t="s">
        <v>20</v>
      </c>
      <c r="E111" s="12">
        <f>12000+(12000*6%)</f>
        <v>12720</v>
      </c>
      <c r="F111" s="13">
        <v>2</v>
      </c>
      <c r="G111" s="12">
        <f t="shared" si="10"/>
        <v>25440</v>
      </c>
      <c r="H111" s="14">
        <v>0.5</v>
      </c>
      <c r="I111" s="12">
        <f t="shared" si="11"/>
        <v>12700</v>
      </c>
      <c r="J111" s="15"/>
      <c r="K111" s="15"/>
    </row>
    <row r="112" spans="1:11">
      <c r="A112" s="5">
        <v>100</v>
      </c>
      <c r="B112" s="5" t="s">
        <v>18</v>
      </c>
      <c r="C112" s="5" t="s">
        <v>241</v>
      </c>
      <c r="D112" s="5" t="s">
        <v>131</v>
      </c>
      <c r="E112" s="12">
        <v>19800</v>
      </c>
      <c r="F112" s="13">
        <v>2</v>
      </c>
      <c r="G112" s="12">
        <f t="shared" si="10"/>
        <v>39600</v>
      </c>
      <c r="H112" s="14">
        <v>0.5</v>
      </c>
      <c r="I112" s="12">
        <f t="shared" si="11"/>
        <v>19800</v>
      </c>
      <c r="J112" s="15"/>
      <c r="K112" s="15"/>
    </row>
    <row r="113" spans="1:11">
      <c r="A113" s="5">
        <v>101</v>
      </c>
      <c r="B113" s="5" t="s">
        <v>18</v>
      </c>
      <c r="C113" s="5" t="s">
        <v>241</v>
      </c>
      <c r="D113" s="5" t="s">
        <v>180</v>
      </c>
      <c r="E113" s="12">
        <v>27000</v>
      </c>
      <c r="F113" s="13">
        <v>2</v>
      </c>
      <c r="G113" s="12">
        <f t="shared" si="10"/>
        <v>54000</v>
      </c>
      <c r="H113" s="14">
        <v>0.5</v>
      </c>
      <c r="I113" s="12">
        <f t="shared" si="11"/>
        <v>27000</v>
      </c>
      <c r="J113" s="15"/>
      <c r="K113" s="15"/>
    </row>
    <row r="114" spans="1:11">
      <c r="A114" s="5">
        <v>102</v>
      </c>
      <c r="B114" s="5" t="s">
        <v>18</v>
      </c>
      <c r="C114" s="5" t="s">
        <v>220</v>
      </c>
      <c r="D114" s="5" t="s">
        <v>131</v>
      </c>
      <c r="E114" s="12">
        <v>19800</v>
      </c>
      <c r="F114" s="13">
        <v>2</v>
      </c>
      <c r="G114" s="12">
        <f t="shared" si="10"/>
        <v>39600</v>
      </c>
      <c r="H114" s="14">
        <v>0.5</v>
      </c>
      <c r="I114" s="12">
        <f t="shared" si="11"/>
        <v>19800</v>
      </c>
      <c r="J114" s="15"/>
      <c r="K114" s="15"/>
    </row>
    <row r="115" spans="1:11">
      <c r="A115" s="5">
        <v>103</v>
      </c>
      <c r="B115" s="5" t="s">
        <v>18</v>
      </c>
      <c r="C115" s="5" t="s">
        <v>220</v>
      </c>
      <c r="D115" s="5" t="s">
        <v>180</v>
      </c>
      <c r="E115" s="12">
        <v>27000</v>
      </c>
      <c r="F115" s="13">
        <v>2</v>
      </c>
      <c r="G115" s="12">
        <f t="shared" si="10"/>
        <v>54000</v>
      </c>
      <c r="H115" s="14">
        <v>0.5</v>
      </c>
      <c r="I115" s="12">
        <f t="shared" si="11"/>
        <v>27000</v>
      </c>
      <c r="J115" s="15"/>
      <c r="K115" s="15"/>
    </row>
    <row r="116" spans="1:11">
      <c r="A116" s="5">
        <v>104</v>
      </c>
      <c r="B116" s="5" t="s">
        <v>18</v>
      </c>
      <c r="C116" s="5" t="s">
        <v>166</v>
      </c>
      <c r="D116" s="5" t="s">
        <v>131</v>
      </c>
      <c r="E116" s="12">
        <f>19800</f>
        <v>19800</v>
      </c>
      <c r="F116" s="13">
        <v>2</v>
      </c>
      <c r="G116" s="12">
        <f t="shared" si="10"/>
        <v>39600</v>
      </c>
      <c r="H116" s="14">
        <v>0.5</v>
      </c>
      <c r="I116" s="12">
        <f t="shared" si="11"/>
        <v>19800</v>
      </c>
      <c r="J116" s="15"/>
      <c r="K116" s="15"/>
    </row>
    <row r="117" spans="1:11">
      <c r="A117" s="5">
        <v>105</v>
      </c>
      <c r="B117" s="5" t="s">
        <v>18</v>
      </c>
      <c r="C117" s="5" t="s">
        <v>166</v>
      </c>
      <c r="D117" s="5" t="s">
        <v>180</v>
      </c>
      <c r="E117" s="12">
        <v>27000</v>
      </c>
      <c r="F117" s="13">
        <v>2</v>
      </c>
      <c r="G117" s="12">
        <f t="shared" si="10"/>
        <v>54000</v>
      </c>
      <c r="H117" s="14">
        <v>0.5</v>
      </c>
      <c r="I117" s="12">
        <f t="shared" si="11"/>
        <v>27000</v>
      </c>
      <c r="J117" s="15"/>
      <c r="K117" s="15"/>
    </row>
    <row r="118" spans="1:11">
      <c r="A118" s="5">
        <v>106</v>
      </c>
      <c r="B118" s="5" t="s">
        <v>18</v>
      </c>
      <c r="C118" s="5" t="s">
        <v>133</v>
      </c>
      <c r="D118" s="5" t="s">
        <v>20</v>
      </c>
      <c r="E118" s="12">
        <f>12000+(12000*6%)</f>
        <v>12720</v>
      </c>
      <c r="F118" s="13">
        <v>1</v>
      </c>
      <c r="G118" s="12">
        <f t="shared" si="10"/>
        <v>12720</v>
      </c>
      <c r="H118" s="14">
        <v>0.5</v>
      </c>
      <c r="I118" s="12">
        <f t="shared" si="11"/>
        <v>6300</v>
      </c>
      <c r="J118" s="15"/>
      <c r="K118" s="15"/>
    </row>
    <row r="119" spans="1:11">
      <c r="A119" s="5">
        <v>107</v>
      </c>
      <c r="B119" s="5" t="s">
        <v>18</v>
      </c>
      <c r="C119" s="5" t="s">
        <v>50</v>
      </c>
      <c r="D119" s="5" t="s">
        <v>20</v>
      </c>
      <c r="E119" s="12">
        <f>12000+(12000*6%)</f>
        <v>12720</v>
      </c>
      <c r="F119" s="13">
        <v>2</v>
      </c>
      <c r="G119" s="12">
        <f t="shared" si="10"/>
        <v>25440</v>
      </c>
      <c r="H119" s="14">
        <v>0.5</v>
      </c>
      <c r="I119" s="12">
        <f t="shared" si="11"/>
        <v>12700</v>
      </c>
      <c r="J119" s="15"/>
      <c r="K119" s="15"/>
    </row>
    <row r="120" spans="1:11">
      <c r="A120" s="5">
        <v>108</v>
      </c>
      <c r="B120" s="5" t="s">
        <v>18</v>
      </c>
      <c r="C120" s="5" t="s">
        <v>232</v>
      </c>
      <c r="D120" s="5" t="s">
        <v>20</v>
      </c>
      <c r="E120" s="12">
        <v>12720</v>
      </c>
      <c r="F120" s="13">
        <v>2</v>
      </c>
      <c r="G120" s="12">
        <f t="shared" si="10"/>
        <v>25440</v>
      </c>
      <c r="H120" s="14">
        <v>0.5</v>
      </c>
      <c r="I120" s="12">
        <f t="shared" si="11"/>
        <v>12700</v>
      </c>
      <c r="J120" s="15"/>
      <c r="K120" s="15"/>
    </row>
    <row r="121" spans="1:11">
      <c r="A121" s="5">
        <v>109</v>
      </c>
      <c r="B121" s="5" t="s">
        <v>18</v>
      </c>
      <c r="C121" s="5" t="s">
        <v>188</v>
      </c>
      <c r="D121" s="5" t="s">
        <v>131</v>
      </c>
      <c r="E121" s="12">
        <v>19800</v>
      </c>
      <c r="F121" s="13">
        <v>2</v>
      </c>
      <c r="G121" s="12">
        <f t="shared" si="10"/>
        <v>39600</v>
      </c>
      <c r="H121" s="14">
        <v>0.5</v>
      </c>
      <c r="I121" s="12">
        <f t="shared" si="11"/>
        <v>19800</v>
      </c>
      <c r="J121" s="15"/>
      <c r="K121" s="15"/>
    </row>
    <row r="122" spans="1:11">
      <c r="A122" s="5">
        <v>110</v>
      </c>
      <c r="B122" s="5" t="s">
        <v>18</v>
      </c>
      <c r="C122" s="5" t="s">
        <v>91</v>
      </c>
      <c r="D122" s="5" t="s">
        <v>15</v>
      </c>
      <c r="E122" s="12">
        <f>83200/8</f>
        <v>10400</v>
      </c>
      <c r="F122" s="13">
        <v>2</v>
      </c>
      <c r="G122" s="12">
        <f t="shared" si="10"/>
        <v>20800</v>
      </c>
      <c r="H122" s="14">
        <v>0.5</v>
      </c>
      <c r="I122" s="12">
        <f t="shared" si="11"/>
        <v>10400</v>
      </c>
      <c r="J122" s="15"/>
      <c r="K122" s="15"/>
    </row>
    <row r="123" spans="1:11">
      <c r="A123" s="22"/>
      <c r="B123" s="22" t="s">
        <v>254</v>
      </c>
      <c r="C123" s="22"/>
      <c r="D123" s="22"/>
      <c r="E123" s="23"/>
      <c r="F123" s="68"/>
      <c r="G123" s="23">
        <f>SUM(G107:G122)</f>
        <v>612754.285714286</v>
      </c>
      <c r="H123" s="23"/>
      <c r="I123" s="23">
        <f>SUM(I107:I122)</f>
        <v>306200</v>
      </c>
      <c r="J123" s="24"/>
      <c r="K123" s="24"/>
    </row>
    <row r="124" spans="1:11">
      <c r="A124" s="5">
        <v>111</v>
      </c>
      <c r="B124" s="5" t="s">
        <v>21</v>
      </c>
      <c r="C124" s="5" t="s">
        <v>122</v>
      </c>
      <c r="D124" s="5" t="s">
        <v>123</v>
      </c>
      <c r="E124" s="12">
        <f>28800/3</f>
        <v>9600</v>
      </c>
      <c r="F124" s="13">
        <v>2</v>
      </c>
      <c r="G124" s="12">
        <f t="shared" ref="G124:G134" si="12">E124*F124</f>
        <v>19200</v>
      </c>
      <c r="H124" s="14">
        <v>0.5</v>
      </c>
      <c r="I124" s="12">
        <f t="shared" ref="I124:I134" si="13">ROUNDDOWN(G124*H124,-2)</f>
        <v>9600</v>
      </c>
      <c r="J124" s="15"/>
      <c r="K124" s="15"/>
    </row>
    <row r="125" spans="1:11">
      <c r="A125" s="5">
        <v>112</v>
      </c>
      <c r="B125" s="5" t="s">
        <v>21</v>
      </c>
      <c r="C125" s="5" t="s">
        <v>77</v>
      </c>
      <c r="D125" s="5" t="s">
        <v>58</v>
      </c>
      <c r="E125" s="12">
        <f>49980/21*9</f>
        <v>21420</v>
      </c>
      <c r="F125" s="13">
        <v>2</v>
      </c>
      <c r="G125" s="12">
        <f t="shared" si="12"/>
        <v>42840</v>
      </c>
      <c r="H125" s="14">
        <v>0.7</v>
      </c>
      <c r="I125" s="12">
        <f t="shared" si="13"/>
        <v>29900</v>
      </c>
      <c r="J125" s="15"/>
      <c r="K125" s="15"/>
    </row>
    <row r="126" spans="1:11">
      <c r="A126" s="5">
        <v>113</v>
      </c>
      <c r="B126" s="5" t="s">
        <v>21</v>
      </c>
      <c r="C126" s="5" t="s">
        <v>195</v>
      </c>
      <c r="D126" s="5" t="s">
        <v>15</v>
      </c>
      <c r="E126" s="12">
        <f>(172800-0)/108*9</f>
        <v>14400</v>
      </c>
      <c r="F126" s="13">
        <v>2</v>
      </c>
      <c r="G126" s="12">
        <f t="shared" si="12"/>
        <v>28800</v>
      </c>
      <c r="H126" s="14">
        <v>0.5</v>
      </c>
      <c r="I126" s="12">
        <f t="shared" si="13"/>
        <v>14400</v>
      </c>
      <c r="J126" s="15"/>
      <c r="K126" s="15"/>
    </row>
    <row r="127" spans="1:11">
      <c r="A127" s="5">
        <v>114</v>
      </c>
      <c r="B127" s="5" t="s">
        <v>21</v>
      </c>
      <c r="C127" s="5" t="s">
        <v>96</v>
      </c>
      <c r="D127" s="5" t="s">
        <v>20</v>
      </c>
      <c r="E127" s="12">
        <f>12000+(12000*6%)</f>
        <v>12720</v>
      </c>
      <c r="F127" s="13">
        <v>2</v>
      </c>
      <c r="G127" s="12">
        <f t="shared" si="12"/>
        <v>25440</v>
      </c>
      <c r="H127" s="14">
        <v>0.5</v>
      </c>
      <c r="I127" s="12">
        <f t="shared" si="13"/>
        <v>12700</v>
      </c>
      <c r="J127" s="15"/>
      <c r="K127" s="15"/>
    </row>
    <row r="128" spans="1:11">
      <c r="A128" s="5">
        <v>115</v>
      </c>
      <c r="B128" s="5" t="s">
        <v>21</v>
      </c>
      <c r="C128" s="5" t="s">
        <v>126</v>
      </c>
      <c r="D128" s="5" t="s">
        <v>20</v>
      </c>
      <c r="E128" s="12">
        <f>2332*9</f>
        <v>20988</v>
      </c>
      <c r="F128" s="13">
        <v>2</v>
      </c>
      <c r="G128" s="12">
        <f t="shared" si="12"/>
        <v>41976</v>
      </c>
      <c r="H128" s="14">
        <v>0.5</v>
      </c>
      <c r="I128" s="12">
        <f t="shared" si="13"/>
        <v>20900</v>
      </c>
      <c r="J128" s="15"/>
      <c r="K128" s="15"/>
    </row>
    <row r="129" spans="1:11">
      <c r="A129" s="5">
        <v>116</v>
      </c>
      <c r="B129" s="5" t="s">
        <v>21</v>
      </c>
      <c r="C129" s="5" t="s">
        <v>231</v>
      </c>
      <c r="D129" s="5" t="s">
        <v>20</v>
      </c>
      <c r="E129" s="12">
        <v>12720</v>
      </c>
      <c r="F129" s="13">
        <v>1</v>
      </c>
      <c r="G129" s="12">
        <f t="shared" si="12"/>
        <v>12720</v>
      </c>
      <c r="H129" s="14">
        <v>0.5</v>
      </c>
      <c r="I129" s="12">
        <f t="shared" si="13"/>
        <v>6300</v>
      </c>
      <c r="J129" s="15" t="s">
        <v>155</v>
      </c>
      <c r="K129" s="15"/>
    </row>
    <row r="130" spans="1:11">
      <c r="A130" s="5">
        <v>117</v>
      </c>
      <c r="B130" s="5" t="s">
        <v>21</v>
      </c>
      <c r="C130" s="5" t="s">
        <v>182</v>
      </c>
      <c r="D130" s="5" t="s">
        <v>15</v>
      </c>
      <c r="E130" s="12">
        <f>(172800-0)/108*9</f>
        <v>14400</v>
      </c>
      <c r="F130" s="13">
        <v>2</v>
      </c>
      <c r="G130" s="12">
        <f t="shared" si="12"/>
        <v>28800</v>
      </c>
      <c r="H130" s="14">
        <v>0.5</v>
      </c>
      <c r="I130" s="12">
        <f t="shared" si="13"/>
        <v>14400</v>
      </c>
      <c r="J130" s="15"/>
      <c r="K130" s="15"/>
    </row>
    <row r="131" spans="1:11">
      <c r="A131" s="5">
        <v>118</v>
      </c>
      <c r="B131" s="5" t="s">
        <v>21</v>
      </c>
      <c r="C131" s="5" t="s">
        <v>196</v>
      </c>
      <c r="D131" s="5" t="s">
        <v>15</v>
      </c>
      <c r="E131" s="12">
        <v>9400</v>
      </c>
      <c r="F131" s="13">
        <v>2</v>
      </c>
      <c r="G131" s="12">
        <f t="shared" si="12"/>
        <v>18800</v>
      </c>
      <c r="H131" s="14">
        <v>0.5</v>
      </c>
      <c r="I131" s="12">
        <f t="shared" si="13"/>
        <v>9400</v>
      </c>
      <c r="J131" s="15"/>
      <c r="K131" s="15"/>
    </row>
    <row r="132" spans="1:11">
      <c r="A132" s="5">
        <v>119</v>
      </c>
      <c r="B132" s="5" t="s">
        <v>21</v>
      </c>
      <c r="C132" s="5" t="s">
        <v>181</v>
      </c>
      <c r="D132" s="5" t="s">
        <v>20</v>
      </c>
      <c r="E132" s="12">
        <f>12000+(12000*6%)</f>
        <v>12720</v>
      </c>
      <c r="F132" s="13">
        <v>2</v>
      </c>
      <c r="G132" s="12">
        <f t="shared" si="12"/>
        <v>25440</v>
      </c>
      <c r="H132" s="14">
        <v>0.5</v>
      </c>
      <c r="I132" s="12">
        <f t="shared" si="13"/>
        <v>12700</v>
      </c>
      <c r="J132" s="15"/>
      <c r="K132" s="15"/>
    </row>
    <row r="133" spans="1:11">
      <c r="A133" s="5">
        <v>120</v>
      </c>
      <c r="B133" s="5" t="s">
        <v>21</v>
      </c>
      <c r="C133" s="5" t="s">
        <v>39</v>
      </c>
      <c r="D133" s="5" t="s">
        <v>15</v>
      </c>
      <c r="E133" s="12">
        <f>(56400-0)/6</f>
        <v>9400</v>
      </c>
      <c r="F133" s="13">
        <v>2</v>
      </c>
      <c r="G133" s="12">
        <f t="shared" si="12"/>
        <v>18800</v>
      </c>
      <c r="H133" s="14">
        <v>0.5</v>
      </c>
      <c r="I133" s="12">
        <f t="shared" si="13"/>
        <v>9400</v>
      </c>
      <c r="J133" s="15"/>
      <c r="K133" s="15"/>
    </row>
    <row r="134" spans="1:11">
      <c r="A134" s="5">
        <v>121</v>
      </c>
      <c r="B134" s="5" t="s">
        <v>21</v>
      </c>
      <c r="C134" s="5" t="s">
        <v>22</v>
      </c>
      <c r="D134" s="5" t="s">
        <v>15</v>
      </c>
      <c r="E134" s="12">
        <f>(115200-0)/72*9</f>
        <v>14400</v>
      </c>
      <c r="F134" s="13">
        <v>2</v>
      </c>
      <c r="G134" s="12">
        <f t="shared" si="12"/>
        <v>28800</v>
      </c>
      <c r="H134" s="14">
        <v>0.5</v>
      </c>
      <c r="I134" s="12">
        <f t="shared" si="13"/>
        <v>14400</v>
      </c>
      <c r="J134" s="15"/>
      <c r="K134" s="15"/>
    </row>
    <row r="135" spans="1:11">
      <c r="A135" s="22"/>
      <c r="B135" s="22" t="s">
        <v>255</v>
      </c>
      <c r="C135" s="22"/>
      <c r="D135" s="22"/>
      <c r="E135" s="23"/>
      <c r="F135" s="68"/>
      <c r="G135" s="23">
        <f>SUM(G124:G134)</f>
        <v>291616</v>
      </c>
      <c r="H135" s="23"/>
      <c r="I135" s="23">
        <f>SUM(I124:I134)</f>
        <v>154100</v>
      </c>
      <c r="J135" s="24"/>
      <c r="K135" s="24"/>
    </row>
    <row r="136" spans="1:11">
      <c r="A136" s="5">
        <v>122</v>
      </c>
      <c r="B136" s="5" t="s">
        <v>28</v>
      </c>
      <c r="C136" s="5" t="s">
        <v>177</v>
      </c>
      <c r="D136" s="5" t="s">
        <v>15</v>
      </c>
      <c r="E136" s="12">
        <f>(75200-0)/8</f>
        <v>9400</v>
      </c>
      <c r="F136" s="13">
        <v>2</v>
      </c>
      <c r="G136" s="12">
        <f t="shared" ref="G136:G167" si="14">E136*F136</f>
        <v>18800</v>
      </c>
      <c r="H136" s="14">
        <v>0.5</v>
      </c>
      <c r="I136" s="12">
        <f t="shared" ref="I136:I167" si="15">ROUNDDOWN(G136*H136,-2)</f>
        <v>9400</v>
      </c>
      <c r="J136" s="15"/>
      <c r="K136" s="15"/>
    </row>
    <row r="137" spans="1:11">
      <c r="A137" s="5">
        <v>123</v>
      </c>
      <c r="B137" s="5" t="s">
        <v>28</v>
      </c>
      <c r="C137" s="5" t="s">
        <v>134</v>
      </c>
      <c r="D137" s="5" t="s">
        <v>131</v>
      </c>
      <c r="E137" s="12">
        <f>19800</f>
        <v>19800</v>
      </c>
      <c r="F137" s="13">
        <v>1</v>
      </c>
      <c r="G137" s="12">
        <f t="shared" si="14"/>
        <v>19800</v>
      </c>
      <c r="H137" s="14">
        <v>0.5</v>
      </c>
      <c r="I137" s="12">
        <f t="shared" si="15"/>
        <v>9900</v>
      </c>
      <c r="J137" s="15"/>
      <c r="K137" s="15"/>
    </row>
    <row r="138" spans="1:11">
      <c r="A138" s="5">
        <v>124</v>
      </c>
      <c r="B138" s="5" t="s">
        <v>28</v>
      </c>
      <c r="C138" s="5" t="s">
        <v>222</v>
      </c>
      <c r="D138" s="5" t="s">
        <v>44</v>
      </c>
      <c r="E138" s="12">
        <v>12799.98</v>
      </c>
      <c r="F138" s="13">
        <v>1</v>
      </c>
      <c r="G138" s="12">
        <f t="shared" si="14"/>
        <v>12799.98</v>
      </c>
      <c r="H138" s="14">
        <v>0.5</v>
      </c>
      <c r="I138" s="12">
        <f t="shared" si="15"/>
        <v>6300</v>
      </c>
      <c r="J138" s="15"/>
      <c r="K138" s="15"/>
    </row>
    <row r="139" spans="1:11">
      <c r="A139" s="5">
        <v>125</v>
      </c>
      <c r="B139" s="5" t="s">
        <v>28</v>
      </c>
      <c r="C139" s="5" t="s">
        <v>210</v>
      </c>
      <c r="D139" s="5" t="s">
        <v>44</v>
      </c>
      <c r="E139" s="12">
        <f>1333.33*9</f>
        <v>11999.97</v>
      </c>
      <c r="F139" s="13">
        <v>2</v>
      </c>
      <c r="G139" s="12">
        <f t="shared" si="14"/>
        <v>23999.94</v>
      </c>
      <c r="H139" s="14">
        <v>0.5</v>
      </c>
      <c r="I139" s="12">
        <f t="shared" si="15"/>
        <v>11900</v>
      </c>
      <c r="J139" s="15"/>
      <c r="K139" s="15"/>
    </row>
    <row r="140" spans="1:11">
      <c r="A140" s="5">
        <v>126</v>
      </c>
      <c r="B140" s="5" t="s">
        <v>28</v>
      </c>
      <c r="C140" s="5" t="s">
        <v>95</v>
      </c>
      <c r="D140" s="5" t="s">
        <v>30</v>
      </c>
      <c r="E140" s="12">
        <f>16800</f>
        <v>16800</v>
      </c>
      <c r="F140" s="13">
        <v>2</v>
      </c>
      <c r="G140" s="12">
        <f t="shared" si="14"/>
        <v>33600</v>
      </c>
      <c r="H140" s="14">
        <v>0.5</v>
      </c>
      <c r="I140" s="12">
        <f t="shared" si="15"/>
        <v>16800</v>
      </c>
      <c r="J140" s="15"/>
      <c r="K140" s="15"/>
    </row>
    <row r="141" spans="1:11">
      <c r="A141" s="5">
        <v>127</v>
      </c>
      <c r="B141" s="5" t="s">
        <v>28</v>
      </c>
      <c r="C141" s="5" t="s">
        <v>208</v>
      </c>
      <c r="D141" s="5" t="s">
        <v>44</v>
      </c>
      <c r="E141" s="12">
        <f>1333.33*9</f>
        <v>11999.97</v>
      </c>
      <c r="F141" s="13">
        <v>2</v>
      </c>
      <c r="G141" s="12">
        <f t="shared" si="14"/>
        <v>23999.94</v>
      </c>
      <c r="H141" s="14">
        <v>0.5</v>
      </c>
      <c r="I141" s="12">
        <f t="shared" si="15"/>
        <v>11900</v>
      </c>
      <c r="J141" s="15"/>
      <c r="K141" s="15"/>
    </row>
    <row r="142" spans="1:11">
      <c r="A142" s="5">
        <v>128</v>
      </c>
      <c r="B142" s="5" t="s">
        <v>28</v>
      </c>
      <c r="C142" s="5" t="s">
        <v>198</v>
      </c>
      <c r="D142" s="5" t="s">
        <v>44</v>
      </c>
      <c r="E142" s="12">
        <f>1422.22*9</f>
        <v>12799.98</v>
      </c>
      <c r="F142" s="13">
        <v>2</v>
      </c>
      <c r="G142" s="12">
        <f t="shared" si="14"/>
        <v>25599.96</v>
      </c>
      <c r="H142" s="14">
        <v>0.5</v>
      </c>
      <c r="I142" s="12">
        <f t="shared" si="15"/>
        <v>12700</v>
      </c>
      <c r="J142" s="15"/>
      <c r="K142" s="15"/>
    </row>
    <row r="143" spans="1:11">
      <c r="A143" s="5">
        <v>129</v>
      </c>
      <c r="B143" s="5" t="s">
        <v>28</v>
      </c>
      <c r="C143" s="5" t="s">
        <v>41</v>
      </c>
      <c r="D143" s="5" t="s">
        <v>15</v>
      </c>
      <c r="E143" s="12">
        <v>9400</v>
      </c>
      <c r="F143" s="13">
        <v>2</v>
      </c>
      <c r="G143" s="12">
        <f t="shared" si="14"/>
        <v>18800</v>
      </c>
      <c r="H143" s="14">
        <v>0.5</v>
      </c>
      <c r="I143" s="12">
        <f t="shared" si="15"/>
        <v>9400</v>
      </c>
      <c r="J143" s="15"/>
      <c r="K143" s="15"/>
    </row>
    <row r="144" spans="1:11">
      <c r="A144" s="5">
        <v>130</v>
      </c>
      <c r="B144" s="5" t="s">
        <v>28</v>
      </c>
      <c r="C144" s="5" t="s">
        <v>201</v>
      </c>
      <c r="D144" s="5" t="s">
        <v>44</v>
      </c>
      <c r="E144" s="12">
        <f>1422.22*9</f>
        <v>12799.98</v>
      </c>
      <c r="F144" s="13">
        <v>1</v>
      </c>
      <c r="G144" s="12">
        <f t="shared" si="14"/>
        <v>12799.98</v>
      </c>
      <c r="H144" s="14">
        <v>0.5</v>
      </c>
      <c r="I144" s="12">
        <f t="shared" si="15"/>
        <v>6300</v>
      </c>
      <c r="J144" s="15"/>
      <c r="K144" s="15"/>
    </row>
    <row r="145" spans="1:11">
      <c r="A145" s="5">
        <v>131</v>
      </c>
      <c r="B145" s="5" t="s">
        <v>28</v>
      </c>
      <c r="C145" s="5" t="s">
        <v>83</v>
      </c>
      <c r="D145" s="5" t="s">
        <v>58</v>
      </c>
      <c r="E145" s="12">
        <f>41000/21*9</f>
        <v>17571.4285714286</v>
      </c>
      <c r="F145" s="13">
        <v>2</v>
      </c>
      <c r="G145" s="12">
        <f t="shared" si="14"/>
        <v>35142.8571428571</v>
      </c>
      <c r="H145" s="14">
        <v>0.5</v>
      </c>
      <c r="I145" s="12">
        <f t="shared" si="15"/>
        <v>17500</v>
      </c>
      <c r="J145" s="15"/>
      <c r="K145" s="15"/>
    </row>
    <row r="146" spans="1:11">
      <c r="A146" s="5">
        <v>132</v>
      </c>
      <c r="B146" s="5" t="s">
        <v>28</v>
      </c>
      <c r="C146" s="5" t="s">
        <v>43</v>
      </c>
      <c r="D146" s="5" t="s">
        <v>44</v>
      </c>
      <c r="E146" s="12">
        <f>47999.88/36*9</f>
        <v>11999.97</v>
      </c>
      <c r="F146" s="13">
        <v>2</v>
      </c>
      <c r="G146" s="12">
        <f t="shared" si="14"/>
        <v>23999.94</v>
      </c>
      <c r="H146" s="14">
        <v>0.5</v>
      </c>
      <c r="I146" s="12">
        <f t="shared" si="15"/>
        <v>11900</v>
      </c>
      <c r="J146" s="15"/>
      <c r="K146" s="15"/>
    </row>
    <row r="147" spans="1:11">
      <c r="A147" s="5">
        <v>133</v>
      </c>
      <c r="B147" s="5" t="s">
        <v>28</v>
      </c>
      <c r="C147" s="5" t="s">
        <v>118</v>
      </c>
      <c r="D147" s="5" t="s">
        <v>15</v>
      </c>
      <c r="E147" s="12">
        <f>56400/6</f>
        <v>9400</v>
      </c>
      <c r="F147" s="13">
        <v>2</v>
      </c>
      <c r="G147" s="12">
        <f t="shared" si="14"/>
        <v>18800</v>
      </c>
      <c r="H147" s="14">
        <v>0.5</v>
      </c>
      <c r="I147" s="12">
        <f t="shared" si="15"/>
        <v>9400</v>
      </c>
      <c r="J147" s="15"/>
      <c r="K147" s="15"/>
    </row>
    <row r="148" spans="1:11">
      <c r="A148" s="5">
        <v>134</v>
      </c>
      <c r="B148" s="5" t="s">
        <v>28</v>
      </c>
      <c r="C148" s="5" t="s">
        <v>227</v>
      </c>
      <c r="D148" s="5" t="s">
        <v>44</v>
      </c>
      <c r="E148" s="12">
        <v>11999.97</v>
      </c>
      <c r="F148" s="13">
        <v>2</v>
      </c>
      <c r="G148" s="12">
        <f t="shared" si="14"/>
        <v>23999.94</v>
      </c>
      <c r="H148" s="14">
        <v>0.5</v>
      </c>
      <c r="I148" s="12">
        <f t="shared" si="15"/>
        <v>11900</v>
      </c>
      <c r="J148" s="15"/>
      <c r="K148" s="15"/>
    </row>
    <row r="149" spans="1:11">
      <c r="A149" s="5">
        <v>135</v>
      </c>
      <c r="B149" s="5" t="s">
        <v>28</v>
      </c>
      <c r="C149" s="5" t="s">
        <v>215</v>
      </c>
      <c r="D149" s="5" t="s">
        <v>44</v>
      </c>
      <c r="E149" s="12">
        <f>1333.33*9</f>
        <v>11999.97</v>
      </c>
      <c r="F149" s="13">
        <v>2</v>
      </c>
      <c r="G149" s="12">
        <f t="shared" si="14"/>
        <v>23999.94</v>
      </c>
      <c r="H149" s="14">
        <v>0.5</v>
      </c>
      <c r="I149" s="12">
        <f t="shared" si="15"/>
        <v>11900</v>
      </c>
      <c r="J149" s="15"/>
      <c r="K149" s="15"/>
    </row>
    <row r="150" spans="1:11">
      <c r="A150" s="5">
        <v>136</v>
      </c>
      <c r="B150" s="5" t="s">
        <v>28</v>
      </c>
      <c r="C150" s="5" t="s">
        <v>212</v>
      </c>
      <c r="D150" s="5" t="s">
        <v>44</v>
      </c>
      <c r="E150" s="12">
        <f>1422.22*9</f>
        <v>12799.98</v>
      </c>
      <c r="F150" s="13">
        <v>1</v>
      </c>
      <c r="G150" s="12">
        <f t="shared" si="14"/>
        <v>12799.98</v>
      </c>
      <c r="H150" s="14">
        <v>0.5</v>
      </c>
      <c r="I150" s="12">
        <f t="shared" si="15"/>
        <v>6300</v>
      </c>
      <c r="J150" s="15"/>
      <c r="K150" s="15"/>
    </row>
    <row r="151" spans="1:11">
      <c r="A151" s="5">
        <v>137</v>
      </c>
      <c r="B151" s="5" t="s">
        <v>28</v>
      </c>
      <c r="C151" s="5" t="s">
        <v>49</v>
      </c>
      <c r="D151" s="5" t="s">
        <v>44</v>
      </c>
      <c r="E151" s="12">
        <f>31999.92/24*9</f>
        <v>11999.97</v>
      </c>
      <c r="F151" s="13">
        <v>2</v>
      </c>
      <c r="G151" s="12">
        <f t="shared" si="14"/>
        <v>23999.94</v>
      </c>
      <c r="H151" s="14">
        <v>0.5</v>
      </c>
      <c r="I151" s="12">
        <f t="shared" si="15"/>
        <v>11900</v>
      </c>
      <c r="J151" s="15"/>
      <c r="K151" s="15"/>
    </row>
    <row r="152" spans="1:11">
      <c r="A152" s="5">
        <v>138</v>
      </c>
      <c r="B152" s="5" t="s">
        <v>28</v>
      </c>
      <c r="C152" s="5" t="s">
        <v>175</v>
      </c>
      <c r="D152" s="5" t="s">
        <v>20</v>
      </c>
      <c r="E152" s="12">
        <f>12000+(12000*6%)</f>
        <v>12720</v>
      </c>
      <c r="F152" s="13">
        <v>2</v>
      </c>
      <c r="G152" s="12">
        <f t="shared" si="14"/>
        <v>25440</v>
      </c>
      <c r="H152" s="14">
        <v>0.5</v>
      </c>
      <c r="I152" s="12">
        <f t="shared" si="15"/>
        <v>12700</v>
      </c>
      <c r="J152" s="15"/>
      <c r="K152" s="15"/>
    </row>
    <row r="153" spans="1:11">
      <c r="A153" s="5">
        <v>139</v>
      </c>
      <c r="B153" s="5" t="s">
        <v>28</v>
      </c>
      <c r="C153" s="5" t="s">
        <v>240</v>
      </c>
      <c r="D153" s="5" t="s">
        <v>30</v>
      </c>
      <c r="E153" s="12">
        <v>16800</v>
      </c>
      <c r="F153" s="13">
        <v>1</v>
      </c>
      <c r="G153" s="12">
        <f t="shared" si="14"/>
        <v>16800</v>
      </c>
      <c r="H153" s="14">
        <v>0.5</v>
      </c>
      <c r="I153" s="12">
        <f t="shared" si="15"/>
        <v>8400</v>
      </c>
      <c r="J153" s="15"/>
      <c r="K153" s="15"/>
    </row>
    <row r="154" spans="1:11">
      <c r="A154" s="5">
        <v>140</v>
      </c>
      <c r="B154" s="5" t="s">
        <v>28</v>
      </c>
      <c r="C154" s="5" t="s">
        <v>110</v>
      </c>
      <c r="D154" s="5" t="s">
        <v>15</v>
      </c>
      <c r="E154" s="12">
        <f>(94000-0)/10</f>
        <v>9400</v>
      </c>
      <c r="F154" s="13">
        <v>2</v>
      </c>
      <c r="G154" s="12">
        <f t="shared" si="14"/>
        <v>18800</v>
      </c>
      <c r="H154" s="14">
        <v>0.5</v>
      </c>
      <c r="I154" s="12">
        <f t="shared" si="15"/>
        <v>9400</v>
      </c>
      <c r="J154" s="15"/>
      <c r="K154" s="15"/>
    </row>
    <row r="155" spans="1:11">
      <c r="A155" s="5">
        <v>141</v>
      </c>
      <c r="B155" s="5" t="s">
        <v>28</v>
      </c>
      <c r="C155" s="5" t="s">
        <v>213</v>
      </c>
      <c r="D155" s="5" t="s">
        <v>44</v>
      </c>
      <c r="E155" s="12">
        <f>1422.22*9</f>
        <v>12799.98</v>
      </c>
      <c r="F155" s="13">
        <v>1</v>
      </c>
      <c r="G155" s="12">
        <f t="shared" si="14"/>
        <v>12799.98</v>
      </c>
      <c r="H155" s="14">
        <v>0.5</v>
      </c>
      <c r="I155" s="12">
        <f t="shared" si="15"/>
        <v>6300</v>
      </c>
      <c r="J155" s="15"/>
      <c r="K155" s="15"/>
    </row>
    <row r="156" spans="1:11">
      <c r="A156" s="5">
        <v>142</v>
      </c>
      <c r="B156" s="5" t="s">
        <v>28</v>
      </c>
      <c r="C156" s="5" t="s">
        <v>40</v>
      </c>
      <c r="D156" s="5" t="s">
        <v>15</v>
      </c>
      <c r="E156" s="12">
        <f>(56400)/6</f>
        <v>9400</v>
      </c>
      <c r="F156" s="13">
        <v>2</v>
      </c>
      <c r="G156" s="12">
        <f t="shared" si="14"/>
        <v>18800</v>
      </c>
      <c r="H156" s="14">
        <v>0.5</v>
      </c>
      <c r="I156" s="12">
        <f t="shared" si="15"/>
        <v>9400</v>
      </c>
      <c r="J156" s="15"/>
      <c r="K156" s="15"/>
    </row>
    <row r="157" spans="1:11">
      <c r="A157" s="5">
        <v>143</v>
      </c>
      <c r="B157" s="5" t="s">
        <v>28</v>
      </c>
      <c r="C157" s="5" t="s">
        <v>223</v>
      </c>
      <c r="D157" s="5" t="s">
        <v>44</v>
      </c>
      <c r="E157" s="12">
        <v>11999.97</v>
      </c>
      <c r="F157" s="13">
        <v>2</v>
      </c>
      <c r="G157" s="12">
        <f t="shared" si="14"/>
        <v>23999.94</v>
      </c>
      <c r="H157" s="14">
        <v>0.5</v>
      </c>
      <c r="I157" s="12">
        <f t="shared" si="15"/>
        <v>11900</v>
      </c>
      <c r="J157" s="15"/>
      <c r="K157" s="15"/>
    </row>
    <row r="158" spans="1:11">
      <c r="A158" s="5">
        <v>144</v>
      </c>
      <c r="B158" s="5" t="s">
        <v>28</v>
      </c>
      <c r="C158" s="5" t="s">
        <v>202</v>
      </c>
      <c r="D158" s="5" t="s">
        <v>44</v>
      </c>
      <c r="E158" s="12">
        <f>1333.33*9</f>
        <v>11999.97</v>
      </c>
      <c r="F158" s="13">
        <v>2</v>
      </c>
      <c r="G158" s="12">
        <f t="shared" si="14"/>
        <v>23999.94</v>
      </c>
      <c r="H158" s="14">
        <v>0.5</v>
      </c>
      <c r="I158" s="12">
        <f t="shared" si="15"/>
        <v>11900</v>
      </c>
      <c r="J158" s="15"/>
      <c r="K158" s="15"/>
    </row>
    <row r="159" spans="1:11">
      <c r="A159" s="5">
        <v>145</v>
      </c>
      <c r="B159" s="5" t="s">
        <v>28</v>
      </c>
      <c r="C159" s="5" t="s">
        <v>205</v>
      </c>
      <c r="D159" s="5" t="s">
        <v>44</v>
      </c>
      <c r="E159" s="12">
        <f>1333.33*9</f>
        <v>11999.97</v>
      </c>
      <c r="F159" s="13">
        <v>2</v>
      </c>
      <c r="G159" s="12">
        <f t="shared" si="14"/>
        <v>23999.94</v>
      </c>
      <c r="H159" s="14">
        <v>0.5</v>
      </c>
      <c r="I159" s="12">
        <f t="shared" si="15"/>
        <v>11900</v>
      </c>
      <c r="J159" s="15"/>
      <c r="K159" s="15"/>
    </row>
    <row r="160" spans="1:11">
      <c r="A160" s="5">
        <v>146</v>
      </c>
      <c r="B160" s="5" t="s">
        <v>28</v>
      </c>
      <c r="C160" s="5" t="s">
        <v>211</v>
      </c>
      <c r="D160" s="5" t="s">
        <v>44</v>
      </c>
      <c r="E160" s="12">
        <f>1333.33*9</f>
        <v>11999.97</v>
      </c>
      <c r="F160" s="13">
        <v>2</v>
      </c>
      <c r="G160" s="12">
        <f t="shared" si="14"/>
        <v>23999.94</v>
      </c>
      <c r="H160" s="14">
        <v>0.5</v>
      </c>
      <c r="I160" s="12">
        <f t="shared" si="15"/>
        <v>11900</v>
      </c>
      <c r="J160" s="15"/>
      <c r="K160" s="15"/>
    </row>
    <row r="161" spans="1:11">
      <c r="A161" s="5">
        <v>147</v>
      </c>
      <c r="B161" s="5" t="s">
        <v>28</v>
      </c>
      <c r="C161" s="5" t="s">
        <v>184</v>
      </c>
      <c r="D161" s="5" t="s">
        <v>15</v>
      </c>
      <c r="E161" s="12">
        <f>(75200-0)/8</f>
        <v>9400</v>
      </c>
      <c r="F161" s="13">
        <v>2</v>
      </c>
      <c r="G161" s="12">
        <f t="shared" si="14"/>
        <v>18800</v>
      </c>
      <c r="H161" s="14">
        <v>0.5</v>
      </c>
      <c r="I161" s="12">
        <f t="shared" si="15"/>
        <v>9400</v>
      </c>
      <c r="J161" s="15"/>
      <c r="K161" s="15"/>
    </row>
    <row r="162" spans="1:11">
      <c r="A162" s="5">
        <v>148</v>
      </c>
      <c r="B162" s="5" t="s">
        <v>28</v>
      </c>
      <c r="C162" s="5" t="s">
        <v>200</v>
      </c>
      <c r="D162" s="5" t="s">
        <v>44</v>
      </c>
      <c r="E162" s="12">
        <f>1333.33*9</f>
        <v>11999.97</v>
      </c>
      <c r="F162" s="13">
        <v>2</v>
      </c>
      <c r="G162" s="12">
        <f t="shared" si="14"/>
        <v>23999.94</v>
      </c>
      <c r="H162" s="14">
        <v>0.5</v>
      </c>
      <c r="I162" s="12">
        <f t="shared" si="15"/>
        <v>11900</v>
      </c>
      <c r="J162" s="15"/>
      <c r="K162" s="15"/>
    </row>
    <row r="163" spans="1:11">
      <c r="A163" s="5">
        <v>149</v>
      </c>
      <c r="B163" s="5" t="s">
        <v>28</v>
      </c>
      <c r="C163" s="5" t="s">
        <v>117</v>
      </c>
      <c r="D163" s="5" t="s">
        <v>44</v>
      </c>
      <c r="E163" s="12">
        <f>20000/18*9</f>
        <v>10000</v>
      </c>
      <c r="F163" s="13">
        <v>2</v>
      </c>
      <c r="G163" s="12">
        <f t="shared" si="14"/>
        <v>20000</v>
      </c>
      <c r="H163" s="14">
        <v>0.5</v>
      </c>
      <c r="I163" s="12">
        <f t="shared" si="15"/>
        <v>10000</v>
      </c>
      <c r="J163" s="15"/>
      <c r="K163" s="15"/>
    </row>
    <row r="164" spans="1:11">
      <c r="A164" s="5">
        <v>150</v>
      </c>
      <c r="B164" s="5" t="s">
        <v>28</v>
      </c>
      <c r="C164" s="5" t="s">
        <v>226</v>
      </c>
      <c r="D164" s="5" t="s">
        <v>44</v>
      </c>
      <c r="E164" s="12">
        <v>11999.97</v>
      </c>
      <c r="F164" s="13">
        <v>2</v>
      </c>
      <c r="G164" s="12">
        <f t="shared" si="14"/>
        <v>23999.94</v>
      </c>
      <c r="H164" s="14">
        <v>0.5</v>
      </c>
      <c r="I164" s="12">
        <f t="shared" si="15"/>
        <v>11900</v>
      </c>
      <c r="J164" s="15"/>
      <c r="K164" s="15"/>
    </row>
    <row r="165" spans="1:11">
      <c r="A165" s="5">
        <v>151</v>
      </c>
      <c r="B165" s="5" t="s">
        <v>28</v>
      </c>
      <c r="C165" s="5" t="s">
        <v>228</v>
      </c>
      <c r="D165" s="5" t="s">
        <v>44</v>
      </c>
      <c r="E165" s="12">
        <f>1333.33*9</f>
        <v>11999.97</v>
      </c>
      <c r="F165" s="13">
        <v>2</v>
      </c>
      <c r="G165" s="12">
        <f t="shared" si="14"/>
        <v>23999.94</v>
      </c>
      <c r="H165" s="14">
        <v>0.5</v>
      </c>
      <c r="I165" s="12">
        <f t="shared" si="15"/>
        <v>11900</v>
      </c>
      <c r="J165" s="15"/>
      <c r="K165" s="15"/>
    </row>
    <row r="166" spans="1:11">
      <c r="A166" s="5">
        <v>152</v>
      </c>
      <c r="B166" s="5" t="s">
        <v>28</v>
      </c>
      <c r="C166" s="5" t="s">
        <v>207</v>
      </c>
      <c r="D166" s="5" t="s">
        <v>44</v>
      </c>
      <c r="E166" s="12">
        <f>1333.33*9</f>
        <v>11999.97</v>
      </c>
      <c r="F166" s="13">
        <v>2</v>
      </c>
      <c r="G166" s="12">
        <f t="shared" si="14"/>
        <v>23999.94</v>
      </c>
      <c r="H166" s="14">
        <v>0.5</v>
      </c>
      <c r="I166" s="12">
        <f t="shared" si="15"/>
        <v>11900</v>
      </c>
      <c r="J166" s="15"/>
      <c r="K166" s="15"/>
    </row>
    <row r="167" spans="1:11">
      <c r="A167" s="5">
        <v>153</v>
      </c>
      <c r="B167" s="5" t="s">
        <v>28</v>
      </c>
      <c r="C167" s="5" t="s">
        <v>46</v>
      </c>
      <c r="D167" s="5" t="s">
        <v>44</v>
      </c>
      <c r="E167" s="12">
        <f>1333.33*9</f>
        <v>11999.97</v>
      </c>
      <c r="F167" s="13">
        <v>2</v>
      </c>
      <c r="G167" s="12">
        <f t="shared" si="14"/>
        <v>23999.94</v>
      </c>
      <c r="H167" s="14">
        <v>0.5</v>
      </c>
      <c r="I167" s="12">
        <f t="shared" si="15"/>
        <v>11900</v>
      </c>
      <c r="J167" s="15"/>
      <c r="K167" s="15"/>
    </row>
    <row r="168" spans="1:11">
      <c r="A168" s="5">
        <v>154</v>
      </c>
      <c r="B168" s="5" t="s">
        <v>28</v>
      </c>
      <c r="C168" s="5" t="s">
        <v>111</v>
      </c>
      <c r="D168" s="5" t="s">
        <v>44</v>
      </c>
      <c r="E168" s="12">
        <f>40500/30*9</f>
        <v>12150</v>
      </c>
      <c r="F168" s="13">
        <v>2</v>
      </c>
      <c r="G168" s="12">
        <f t="shared" ref="G168:G199" si="16">E168*F168</f>
        <v>24300</v>
      </c>
      <c r="H168" s="14">
        <v>0.5</v>
      </c>
      <c r="I168" s="12">
        <f t="shared" ref="I168:I199" si="17">ROUNDDOWN(G168*H168,-2)</f>
        <v>12100</v>
      </c>
      <c r="J168" s="15"/>
      <c r="K168" s="15"/>
    </row>
    <row r="169" spans="1:11">
      <c r="A169" s="5">
        <v>155</v>
      </c>
      <c r="B169" s="5" t="s">
        <v>28</v>
      </c>
      <c r="C169" s="5" t="s">
        <v>31</v>
      </c>
      <c r="D169" s="5" t="s">
        <v>15</v>
      </c>
      <c r="E169" s="12">
        <f>(833686-0)/100</f>
        <v>8336.86</v>
      </c>
      <c r="F169" s="13">
        <v>2</v>
      </c>
      <c r="G169" s="12">
        <f t="shared" si="16"/>
        <v>16673.72</v>
      </c>
      <c r="H169" s="14">
        <v>0.7</v>
      </c>
      <c r="I169" s="12">
        <f t="shared" si="17"/>
        <v>11600</v>
      </c>
      <c r="J169" s="15"/>
      <c r="K169" s="15"/>
    </row>
    <row r="170" spans="1:11">
      <c r="A170" s="5">
        <v>156</v>
      </c>
      <c r="B170" s="5" t="s">
        <v>28</v>
      </c>
      <c r="C170" s="5" t="s">
        <v>143</v>
      </c>
      <c r="D170" s="5" t="s">
        <v>15</v>
      </c>
      <c r="E170" s="12">
        <f>(75200)/8</f>
        <v>9400</v>
      </c>
      <c r="F170" s="13">
        <v>2</v>
      </c>
      <c r="G170" s="12">
        <f t="shared" si="16"/>
        <v>18800</v>
      </c>
      <c r="H170" s="14">
        <v>0.5</v>
      </c>
      <c r="I170" s="12">
        <f t="shared" si="17"/>
        <v>9400</v>
      </c>
      <c r="J170" s="15"/>
      <c r="K170" s="15"/>
    </row>
    <row r="171" spans="1:11">
      <c r="A171" s="5">
        <v>157</v>
      </c>
      <c r="B171" s="5" t="s">
        <v>28</v>
      </c>
      <c r="C171" s="5" t="s">
        <v>233</v>
      </c>
      <c r="D171" s="5" t="s">
        <v>15</v>
      </c>
      <c r="E171" s="12">
        <f>37600/4</f>
        <v>9400</v>
      </c>
      <c r="F171" s="13">
        <v>2</v>
      </c>
      <c r="G171" s="12">
        <f t="shared" si="16"/>
        <v>18800</v>
      </c>
      <c r="H171" s="14">
        <v>0.5</v>
      </c>
      <c r="I171" s="12">
        <f t="shared" si="17"/>
        <v>9400</v>
      </c>
      <c r="J171" s="15"/>
      <c r="K171" s="15"/>
    </row>
    <row r="172" spans="1:11">
      <c r="A172" s="5">
        <v>158</v>
      </c>
      <c r="B172" s="5" t="s">
        <v>28</v>
      </c>
      <c r="C172" s="5" t="s">
        <v>236</v>
      </c>
      <c r="D172" s="5" t="s">
        <v>30</v>
      </c>
      <c r="E172" s="12">
        <v>16800</v>
      </c>
      <c r="F172" s="13">
        <v>2</v>
      </c>
      <c r="G172" s="12">
        <f t="shared" si="16"/>
        <v>33600</v>
      </c>
      <c r="H172" s="14">
        <v>0.5</v>
      </c>
      <c r="I172" s="12">
        <f t="shared" si="17"/>
        <v>16800</v>
      </c>
      <c r="J172" s="15"/>
      <c r="K172" s="15"/>
    </row>
    <row r="173" spans="1:11">
      <c r="A173" s="5">
        <v>159</v>
      </c>
      <c r="B173" s="5" t="s">
        <v>28</v>
      </c>
      <c r="C173" s="5" t="s">
        <v>193</v>
      </c>
      <c r="D173" s="5" t="s">
        <v>15</v>
      </c>
      <c r="E173" s="12">
        <f>(51000-0)/6</f>
        <v>8500</v>
      </c>
      <c r="F173" s="13">
        <v>2</v>
      </c>
      <c r="G173" s="12">
        <f t="shared" si="16"/>
        <v>17000</v>
      </c>
      <c r="H173" s="14">
        <v>0.5</v>
      </c>
      <c r="I173" s="12">
        <f t="shared" si="17"/>
        <v>8500</v>
      </c>
      <c r="J173" s="15"/>
      <c r="K173" s="15"/>
    </row>
    <row r="174" spans="1:11">
      <c r="A174" s="5">
        <v>160</v>
      </c>
      <c r="B174" s="5" t="s">
        <v>28</v>
      </c>
      <c r="C174" s="5" t="s">
        <v>199</v>
      </c>
      <c r="D174" s="5" t="s">
        <v>44</v>
      </c>
      <c r="E174" s="12">
        <f>1333.33*9</f>
        <v>11999.97</v>
      </c>
      <c r="F174" s="13">
        <v>2</v>
      </c>
      <c r="G174" s="12">
        <f t="shared" si="16"/>
        <v>23999.94</v>
      </c>
      <c r="H174" s="14">
        <v>0.5</v>
      </c>
      <c r="I174" s="12">
        <f t="shared" si="17"/>
        <v>11900</v>
      </c>
      <c r="J174" s="15"/>
      <c r="K174" s="15"/>
    </row>
    <row r="175" spans="1:11">
      <c r="A175" s="5">
        <v>161</v>
      </c>
      <c r="B175" s="5" t="s">
        <v>28</v>
      </c>
      <c r="C175" s="5" t="s">
        <v>101</v>
      </c>
      <c r="D175" s="5" t="s">
        <v>15</v>
      </c>
      <c r="E175" s="12">
        <f>112800/12</f>
        <v>9400</v>
      </c>
      <c r="F175" s="13">
        <v>2</v>
      </c>
      <c r="G175" s="12">
        <f t="shared" si="16"/>
        <v>18800</v>
      </c>
      <c r="H175" s="14">
        <v>0.5</v>
      </c>
      <c r="I175" s="12">
        <f t="shared" si="17"/>
        <v>9400</v>
      </c>
      <c r="J175" s="15"/>
      <c r="K175" s="15"/>
    </row>
    <row r="176" spans="1:11">
      <c r="A176" s="5">
        <v>162</v>
      </c>
      <c r="B176" s="5" t="s">
        <v>28</v>
      </c>
      <c r="C176" s="5" t="s">
        <v>162</v>
      </c>
      <c r="D176" s="5" t="s">
        <v>15</v>
      </c>
      <c r="E176" s="12">
        <f>1900*9</f>
        <v>17100</v>
      </c>
      <c r="F176" s="13">
        <v>2</v>
      </c>
      <c r="G176" s="12">
        <f t="shared" si="16"/>
        <v>34200</v>
      </c>
      <c r="H176" s="14">
        <v>0.5</v>
      </c>
      <c r="I176" s="12">
        <f t="shared" si="17"/>
        <v>17100</v>
      </c>
      <c r="J176" s="15"/>
      <c r="K176" s="15"/>
    </row>
    <row r="177" spans="1:11">
      <c r="A177" s="5">
        <v>163</v>
      </c>
      <c r="B177" s="5" t="s">
        <v>28</v>
      </c>
      <c r="C177" s="5" t="s">
        <v>161</v>
      </c>
      <c r="D177" s="5" t="s">
        <v>15</v>
      </c>
      <c r="E177" s="12">
        <f>(75200)/8</f>
        <v>9400</v>
      </c>
      <c r="F177" s="13">
        <v>2</v>
      </c>
      <c r="G177" s="12">
        <f t="shared" si="16"/>
        <v>18800</v>
      </c>
      <c r="H177" s="14">
        <v>0.5</v>
      </c>
      <c r="I177" s="12">
        <f t="shared" si="17"/>
        <v>9400</v>
      </c>
      <c r="J177" s="15"/>
      <c r="K177" s="15"/>
    </row>
    <row r="178" spans="1:11">
      <c r="A178" s="5">
        <v>164</v>
      </c>
      <c r="B178" s="5" t="s">
        <v>28</v>
      </c>
      <c r="C178" s="5" t="s">
        <v>158</v>
      </c>
      <c r="D178" s="5" t="s">
        <v>44</v>
      </c>
      <c r="E178" s="12">
        <f>52500/42*9</f>
        <v>11250</v>
      </c>
      <c r="F178" s="13">
        <v>2</v>
      </c>
      <c r="G178" s="12">
        <f t="shared" si="16"/>
        <v>22500</v>
      </c>
      <c r="H178" s="14">
        <v>0.5</v>
      </c>
      <c r="I178" s="12">
        <f t="shared" si="17"/>
        <v>11200</v>
      </c>
      <c r="J178" s="15"/>
      <c r="K178" s="15"/>
    </row>
    <row r="179" spans="1:11">
      <c r="A179" s="5">
        <v>165</v>
      </c>
      <c r="B179" s="5" t="s">
        <v>28</v>
      </c>
      <c r="C179" s="5" t="s">
        <v>66</v>
      </c>
      <c r="D179" s="5" t="s">
        <v>58</v>
      </c>
      <c r="E179" s="12">
        <f>83700/30*9</f>
        <v>25110</v>
      </c>
      <c r="F179" s="13">
        <v>2</v>
      </c>
      <c r="G179" s="12">
        <f t="shared" si="16"/>
        <v>50220</v>
      </c>
      <c r="H179" s="14">
        <v>0.5</v>
      </c>
      <c r="I179" s="12">
        <f t="shared" si="17"/>
        <v>25100</v>
      </c>
      <c r="J179" s="15"/>
      <c r="K179" s="15"/>
    </row>
    <row r="180" spans="1:11">
      <c r="A180" s="5">
        <v>166</v>
      </c>
      <c r="B180" s="5" t="s">
        <v>28</v>
      </c>
      <c r="C180" s="5" t="s">
        <v>224</v>
      </c>
      <c r="D180" s="5" t="s">
        <v>44</v>
      </c>
      <c r="E180" s="12">
        <v>11999.97</v>
      </c>
      <c r="F180" s="13">
        <v>2</v>
      </c>
      <c r="G180" s="12">
        <f t="shared" si="16"/>
        <v>23999.94</v>
      </c>
      <c r="H180" s="14">
        <v>0.5</v>
      </c>
      <c r="I180" s="12">
        <f t="shared" si="17"/>
        <v>11900</v>
      </c>
      <c r="J180" s="15"/>
      <c r="K180" s="15"/>
    </row>
    <row r="181" spans="1:11">
      <c r="A181" s="5">
        <v>167</v>
      </c>
      <c r="B181" s="5" t="s">
        <v>28</v>
      </c>
      <c r="C181" s="5" t="s">
        <v>94</v>
      </c>
      <c r="D181" s="5" t="s">
        <v>30</v>
      </c>
      <c r="E181" s="12">
        <f>16800</f>
        <v>16800</v>
      </c>
      <c r="F181" s="13">
        <v>2</v>
      </c>
      <c r="G181" s="12">
        <f t="shared" si="16"/>
        <v>33600</v>
      </c>
      <c r="H181" s="14">
        <v>0.5</v>
      </c>
      <c r="I181" s="12">
        <f t="shared" si="17"/>
        <v>16800</v>
      </c>
      <c r="J181" s="15"/>
      <c r="K181" s="15"/>
    </row>
    <row r="182" spans="1:11">
      <c r="A182" s="5">
        <v>168</v>
      </c>
      <c r="B182" s="5" t="s">
        <v>28</v>
      </c>
      <c r="C182" s="5" t="s">
        <v>94</v>
      </c>
      <c r="D182" s="5" t="s">
        <v>44</v>
      </c>
      <c r="E182" s="12">
        <f>70000/56*9</f>
        <v>11250</v>
      </c>
      <c r="F182" s="13">
        <v>2</v>
      </c>
      <c r="G182" s="12">
        <f t="shared" si="16"/>
        <v>22500</v>
      </c>
      <c r="H182" s="14">
        <v>0.5</v>
      </c>
      <c r="I182" s="12">
        <f t="shared" si="17"/>
        <v>11200</v>
      </c>
      <c r="J182" s="15"/>
      <c r="K182" s="15"/>
    </row>
    <row r="183" spans="1:11">
      <c r="A183" s="5">
        <v>169</v>
      </c>
      <c r="B183" s="5" t="s">
        <v>28</v>
      </c>
      <c r="C183" s="5" t="s">
        <v>88</v>
      </c>
      <c r="D183" s="5" t="s">
        <v>30</v>
      </c>
      <c r="E183" s="12">
        <f>16800</f>
        <v>16800</v>
      </c>
      <c r="F183" s="13">
        <v>2</v>
      </c>
      <c r="G183" s="12">
        <f t="shared" si="16"/>
        <v>33600</v>
      </c>
      <c r="H183" s="14">
        <v>0.5</v>
      </c>
      <c r="I183" s="12">
        <f t="shared" si="17"/>
        <v>16800</v>
      </c>
      <c r="J183" s="15"/>
      <c r="K183" s="15"/>
    </row>
    <row r="184" spans="1:11">
      <c r="A184" s="5">
        <v>170</v>
      </c>
      <c r="B184" s="5" t="s">
        <v>28</v>
      </c>
      <c r="C184" s="5" t="s">
        <v>159</v>
      </c>
      <c r="D184" s="5" t="s">
        <v>15</v>
      </c>
      <c r="E184" s="12">
        <f>(37600-0)/4</f>
        <v>9400</v>
      </c>
      <c r="F184" s="13">
        <v>2</v>
      </c>
      <c r="G184" s="12">
        <f t="shared" si="16"/>
        <v>18800</v>
      </c>
      <c r="H184" s="14">
        <v>0.5</v>
      </c>
      <c r="I184" s="12">
        <f t="shared" si="17"/>
        <v>9400</v>
      </c>
      <c r="J184" s="15"/>
      <c r="K184" s="15"/>
    </row>
    <row r="185" spans="1:11">
      <c r="A185" s="5">
        <v>171</v>
      </c>
      <c r="B185" s="5" t="s">
        <v>28</v>
      </c>
      <c r="C185" s="5" t="s">
        <v>242</v>
      </c>
      <c r="D185" s="5" t="s">
        <v>44</v>
      </c>
      <c r="E185" s="12">
        <v>11999.97</v>
      </c>
      <c r="F185" s="13">
        <v>2</v>
      </c>
      <c r="G185" s="12">
        <f t="shared" si="16"/>
        <v>23999.94</v>
      </c>
      <c r="H185" s="14">
        <v>0.5</v>
      </c>
      <c r="I185" s="12">
        <f t="shared" si="17"/>
        <v>11900</v>
      </c>
      <c r="J185" s="15"/>
      <c r="K185" s="15"/>
    </row>
    <row r="186" spans="1:11">
      <c r="A186" s="5">
        <v>172</v>
      </c>
      <c r="B186" s="5" t="s">
        <v>28</v>
      </c>
      <c r="C186" s="5" t="s">
        <v>149</v>
      </c>
      <c r="D186" s="5" t="s">
        <v>44</v>
      </c>
      <c r="E186" s="12">
        <f>50000/40*9</f>
        <v>11250</v>
      </c>
      <c r="F186" s="13">
        <v>2</v>
      </c>
      <c r="G186" s="12">
        <f t="shared" si="16"/>
        <v>22500</v>
      </c>
      <c r="H186" s="14">
        <v>0.5</v>
      </c>
      <c r="I186" s="12">
        <f t="shared" si="17"/>
        <v>11200</v>
      </c>
      <c r="J186" s="15"/>
      <c r="K186" s="15"/>
    </row>
    <row r="187" spans="1:11">
      <c r="A187" s="5">
        <v>173</v>
      </c>
      <c r="B187" s="5" t="s">
        <v>28</v>
      </c>
      <c r="C187" s="5" t="s">
        <v>127</v>
      </c>
      <c r="D187" s="5" t="s">
        <v>30</v>
      </c>
      <c r="E187" s="12">
        <f>16800</f>
        <v>16800</v>
      </c>
      <c r="F187" s="13">
        <v>1</v>
      </c>
      <c r="G187" s="12">
        <f t="shared" si="16"/>
        <v>16800</v>
      </c>
      <c r="H187" s="14">
        <v>0.5</v>
      </c>
      <c r="I187" s="12">
        <f t="shared" si="17"/>
        <v>8400</v>
      </c>
      <c r="J187" s="15"/>
      <c r="K187" s="15"/>
    </row>
    <row r="188" spans="1:11">
      <c r="A188" s="5">
        <v>174</v>
      </c>
      <c r="B188" s="5" t="s">
        <v>28</v>
      </c>
      <c r="C188" s="5" t="s">
        <v>206</v>
      </c>
      <c r="D188" s="5" t="s">
        <v>44</v>
      </c>
      <c r="E188" s="12">
        <f>1333.33*9</f>
        <v>11999.97</v>
      </c>
      <c r="F188" s="13">
        <v>2</v>
      </c>
      <c r="G188" s="12">
        <f t="shared" si="16"/>
        <v>23999.94</v>
      </c>
      <c r="H188" s="14">
        <v>0.5</v>
      </c>
      <c r="I188" s="12">
        <f t="shared" si="17"/>
        <v>11900</v>
      </c>
      <c r="J188" s="15"/>
      <c r="K188" s="15"/>
    </row>
    <row r="189" spans="1:11">
      <c r="A189" s="5">
        <v>175</v>
      </c>
      <c r="B189" s="5" t="s">
        <v>28</v>
      </c>
      <c r="C189" s="5" t="s">
        <v>225</v>
      </c>
      <c r="D189" s="5" t="s">
        <v>44</v>
      </c>
      <c r="E189" s="12">
        <v>12799.98</v>
      </c>
      <c r="F189" s="13">
        <v>1</v>
      </c>
      <c r="G189" s="12">
        <f t="shared" si="16"/>
        <v>12799.98</v>
      </c>
      <c r="H189" s="14">
        <v>0.5</v>
      </c>
      <c r="I189" s="12">
        <f t="shared" si="17"/>
        <v>6300</v>
      </c>
      <c r="J189" s="15"/>
      <c r="K189" s="15"/>
    </row>
    <row r="190" spans="1:11">
      <c r="A190" s="5">
        <v>176</v>
      </c>
      <c r="B190" s="5" t="s">
        <v>28</v>
      </c>
      <c r="C190" s="5" t="s">
        <v>217</v>
      </c>
      <c r="D190" s="5" t="s">
        <v>44</v>
      </c>
      <c r="E190" s="12">
        <f>47999.88/36*9</f>
        <v>11999.97</v>
      </c>
      <c r="F190" s="13">
        <v>2</v>
      </c>
      <c r="G190" s="12">
        <f t="shared" si="16"/>
        <v>23999.94</v>
      </c>
      <c r="H190" s="14">
        <v>0.5</v>
      </c>
      <c r="I190" s="12">
        <f t="shared" si="17"/>
        <v>11900</v>
      </c>
      <c r="J190" s="15"/>
      <c r="K190" s="15"/>
    </row>
    <row r="191" spans="1:11">
      <c r="A191" s="5">
        <v>177</v>
      </c>
      <c r="B191" s="5" t="s">
        <v>28</v>
      </c>
      <c r="C191" s="5" t="s">
        <v>216</v>
      </c>
      <c r="D191" s="5" t="s">
        <v>44</v>
      </c>
      <c r="E191" s="12">
        <f>1333.33*9</f>
        <v>11999.97</v>
      </c>
      <c r="F191" s="13">
        <v>2</v>
      </c>
      <c r="G191" s="12">
        <f t="shared" si="16"/>
        <v>23999.94</v>
      </c>
      <c r="H191" s="14">
        <v>0.5</v>
      </c>
      <c r="I191" s="12">
        <f t="shared" si="17"/>
        <v>11900</v>
      </c>
      <c r="J191" s="15"/>
      <c r="K191" s="15"/>
    </row>
    <row r="192" spans="1:11">
      <c r="A192" s="5">
        <v>178</v>
      </c>
      <c r="B192" s="5" t="s">
        <v>28</v>
      </c>
      <c r="C192" s="5" t="s">
        <v>209</v>
      </c>
      <c r="D192" s="5" t="s">
        <v>44</v>
      </c>
      <c r="E192" s="12">
        <f>1333.33*9</f>
        <v>11999.97</v>
      </c>
      <c r="F192" s="13">
        <v>2</v>
      </c>
      <c r="G192" s="12">
        <f t="shared" si="16"/>
        <v>23999.94</v>
      </c>
      <c r="H192" s="14">
        <v>0.5</v>
      </c>
      <c r="I192" s="12">
        <f t="shared" si="17"/>
        <v>11900</v>
      </c>
      <c r="J192" s="15"/>
      <c r="K192" s="15"/>
    </row>
    <row r="193" spans="1:11">
      <c r="A193" s="5">
        <v>179</v>
      </c>
      <c r="B193" s="5" t="s">
        <v>28</v>
      </c>
      <c r="C193" s="5" t="s">
        <v>203</v>
      </c>
      <c r="D193" s="5" t="s">
        <v>44</v>
      </c>
      <c r="E193" s="12">
        <f>1333.33*9</f>
        <v>11999.97</v>
      </c>
      <c r="F193" s="13">
        <v>2</v>
      </c>
      <c r="G193" s="12">
        <f t="shared" si="16"/>
        <v>23999.94</v>
      </c>
      <c r="H193" s="14">
        <v>0.5</v>
      </c>
      <c r="I193" s="12">
        <f t="shared" si="17"/>
        <v>11900</v>
      </c>
      <c r="J193" s="15"/>
      <c r="K193" s="15"/>
    </row>
    <row r="194" spans="1:11">
      <c r="A194" s="5">
        <v>180</v>
      </c>
      <c r="B194" s="5" t="s">
        <v>28</v>
      </c>
      <c r="C194" s="5" t="s">
        <v>48</v>
      </c>
      <c r="D194" s="5" t="s">
        <v>44</v>
      </c>
      <c r="E194" s="12">
        <f>96600/56*9</f>
        <v>15525</v>
      </c>
      <c r="F194" s="13">
        <v>2</v>
      </c>
      <c r="G194" s="12">
        <f t="shared" si="16"/>
        <v>31050</v>
      </c>
      <c r="H194" s="14">
        <v>0.5</v>
      </c>
      <c r="I194" s="12">
        <f t="shared" si="17"/>
        <v>15500</v>
      </c>
      <c r="J194" s="15"/>
      <c r="K194" s="15"/>
    </row>
    <row r="195" spans="1:11">
      <c r="A195" s="5">
        <v>181</v>
      </c>
      <c r="B195" s="5" t="s">
        <v>28</v>
      </c>
      <c r="C195" s="5" t="s">
        <v>47</v>
      </c>
      <c r="D195" s="5" t="s">
        <v>44</v>
      </c>
      <c r="E195" s="12">
        <f>1333.33*9</f>
        <v>11999.97</v>
      </c>
      <c r="F195" s="13">
        <v>2</v>
      </c>
      <c r="G195" s="12">
        <f t="shared" si="16"/>
        <v>23999.94</v>
      </c>
      <c r="H195" s="14">
        <v>0.5</v>
      </c>
      <c r="I195" s="12">
        <f t="shared" si="17"/>
        <v>11900</v>
      </c>
      <c r="J195" s="15"/>
      <c r="K195" s="15"/>
    </row>
    <row r="196" spans="1:11">
      <c r="A196" s="5">
        <v>182</v>
      </c>
      <c r="B196" s="5" t="s">
        <v>28</v>
      </c>
      <c r="C196" s="5" t="s">
        <v>229</v>
      </c>
      <c r="D196" s="5" t="s">
        <v>44</v>
      </c>
      <c r="E196" s="12">
        <v>16875</v>
      </c>
      <c r="F196" s="13">
        <v>2</v>
      </c>
      <c r="G196" s="12">
        <f t="shared" si="16"/>
        <v>33750</v>
      </c>
      <c r="H196" s="14">
        <v>0.5</v>
      </c>
      <c r="I196" s="12">
        <f t="shared" si="17"/>
        <v>16800</v>
      </c>
      <c r="J196" s="15"/>
      <c r="K196" s="15"/>
    </row>
    <row r="197" spans="1:11">
      <c r="A197" s="5">
        <v>183</v>
      </c>
      <c r="B197" s="5" t="s">
        <v>28</v>
      </c>
      <c r="C197" s="5" t="s">
        <v>45</v>
      </c>
      <c r="D197" s="5" t="s">
        <v>44</v>
      </c>
      <c r="E197" s="12">
        <f>1333.33*9</f>
        <v>11999.97</v>
      </c>
      <c r="F197" s="13">
        <v>2</v>
      </c>
      <c r="G197" s="12">
        <f t="shared" si="16"/>
        <v>23999.94</v>
      </c>
      <c r="H197" s="14">
        <v>0.5</v>
      </c>
      <c r="I197" s="12">
        <f t="shared" si="17"/>
        <v>11900</v>
      </c>
      <c r="J197" s="15"/>
      <c r="K197" s="15"/>
    </row>
    <row r="198" spans="1:11">
      <c r="A198" s="5">
        <v>184</v>
      </c>
      <c r="B198" s="5" t="s">
        <v>28</v>
      </c>
      <c r="C198" s="5" t="s">
        <v>29</v>
      </c>
      <c r="D198" s="5" t="s">
        <v>30</v>
      </c>
      <c r="E198" s="12">
        <v>16800</v>
      </c>
      <c r="F198" s="13">
        <v>2</v>
      </c>
      <c r="G198" s="12">
        <f t="shared" si="16"/>
        <v>33600</v>
      </c>
      <c r="H198" s="14">
        <v>0.7</v>
      </c>
      <c r="I198" s="12">
        <f t="shared" si="17"/>
        <v>23500</v>
      </c>
      <c r="J198" s="15"/>
      <c r="K198" s="15"/>
    </row>
    <row r="199" spans="1:11">
      <c r="A199" s="5">
        <v>185</v>
      </c>
      <c r="B199" s="5" t="s">
        <v>28</v>
      </c>
      <c r="C199" s="5" t="s">
        <v>29</v>
      </c>
      <c r="D199" s="5" t="s">
        <v>44</v>
      </c>
      <c r="E199" s="12">
        <f>93750/75*9</f>
        <v>11250</v>
      </c>
      <c r="F199" s="13">
        <v>2</v>
      </c>
      <c r="G199" s="12">
        <f t="shared" si="16"/>
        <v>22500</v>
      </c>
      <c r="H199" s="14">
        <v>0.7</v>
      </c>
      <c r="I199" s="12">
        <f t="shared" si="17"/>
        <v>15700</v>
      </c>
      <c r="J199" s="15"/>
      <c r="K199" s="15"/>
    </row>
    <row r="200" spans="1:11">
      <c r="A200" s="5">
        <v>186</v>
      </c>
      <c r="B200" s="5" t="s">
        <v>28</v>
      </c>
      <c r="C200" s="5" t="s">
        <v>204</v>
      </c>
      <c r="D200" s="5" t="s">
        <v>44</v>
      </c>
      <c r="E200" s="12">
        <f>1333.33*9</f>
        <v>11999.97</v>
      </c>
      <c r="F200" s="13">
        <v>2</v>
      </c>
      <c r="G200" s="12">
        <f t="shared" ref="G200:G201" si="18">E200*F200</f>
        <v>23999.94</v>
      </c>
      <c r="H200" s="14">
        <v>0.5</v>
      </c>
      <c r="I200" s="12">
        <f t="shared" ref="I200:I201" si="19">ROUNDDOWN(G200*H200,-2)</f>
        <v>11900</v>
      </c>
      <c r="J200" s="15"/>
      <c r="K200" s="15"/>
    </row>
    <row r="201" spans="1:11">
      <c r="A201" s="5">
        <v>187</v>
      </c>
      <c r="B201" s="5" t="s">
        <v>28</v>
      </c>
      <c r="C201" s="5" t="s">
        <v>90</v>
      </c>
      <c r="D201" s="5" t="s">
        <v>15</v>
      </c>
      <c r="E201" s="12">
        <f>(37600-0)/4</f>
        <v>9400</v>
      </c>
      <c r="F201" s="13">
        <v>2</v>
      </c>
      <c r="G201" s="12">
        <f t="shared" si="18"/>
        <v>18800</v>
      </c>
      <c r="H201" s="14">
        <v>0.5</v>
      </c>
      <c r="I201" s="12">
        <f t="shared" si="19"/>
        <v>9400</v>
      </c>
      <c r="J201" s="15"/>
      <c r="K201" s="15"/>
    </row>
    <row r="202" spans="1:11">
      <c r="A202" s="22"/>
      <c r="B202" s="22" t="s">
        <v>256</v>
      </c>
      <c r="C202" s="22"/>
      <c r="D202" s="22"/>
      <c r="E202" s="23"/>
      <c r="F202" s="68"/>
      <c r="G202" s="23">
        <f>SUM(G136:G201)</f>
        <v>1538374.87714286</v>
      </c>
      <c r="H202" s="23"/>
      <c r="I202" s="23">
        <f>SUM(I136:I201)</f>
        <v>780000</v>
      </c>
      <c r="J202" s="24"/>
      <c r="K202" s="24"/>
    </row>
    <row r="203" spans="1:11">
      <c r="A203" s="5">
        <v>188</v>
      </c>
      <c r="B203" s="5" t="s">
        <v>67</v>
      </c>
      <c r="C203" s="5" t="s">
        <v>82</v>
      </c>
      <c r="D203" s="5" t="s">
        <v>58</v>
      </c>
      <c r="E203" s="12">
        <f>89280/36*9</f>
        <v>22320</v>
      </c>
      <c r="F203" s="13">
        <v>2</v>
      </c>
      <c r="G203" s="12">
        <f>E203*F203</f>
        <v>44640</v>
      </c>
      <c r="H203" s="14">
        <v>0.5</v>
      </c>
      <c r="I203" s="12">
        <f>ROUNDDOWN(G203*H203,-2)</f>
        <v>22300</v>
      </c>
      <c r="J203" s="15"/>
      <c r="K203" s="15"/>
    </row>
    <row r="204" spans="1:11">
      <c r="A204" s="5">
        <v>189</v>
      </c>
      <c r="B204" s="5" t="s">
        <v>67</v>
      </c>
      <c r="C204" s="5" t="s">
        <v>144</v>
      </c>
      <c r="D204" s="5" t="s">
        <v>20</v>
      </c>
      <c r="E204" s="12">
        <f>12000+(12000*6%)</f>
        <v>12720</v>
      </c>
      <c r="F204" s="13">
        <v>2</v>
      </c>
      <c r="G204" s="12">
        <f>E204*F204</f>
        <v>25440</v>
      </c>
      <c r="H204" s="14">
        <v>0.5</v>
      </c>
      <c r="I204" s="12">
        <f>ROUNDDOWN(G204*H204,-2)</f>
        <v>12700</v>
      </c>
      <c r="J204" s="15"/>
      <c r="K204" s="15"/>
    </row>
    <row r="205" spans="1:11">
      <c r="A205" s="5">
        <v>190</v>
      </c>
      <c r="B205" s="5" t="s">
        <v>67</v>
      </c>
      <c r="C205" s="5" t="s">
        <v>68</v>
      </c>
      <c r="D205" s="5" t="s">
        <v>58</v>
      </c>
      <c r="E205" s="12">
        <f>20700</f>
        <v>20700</v>
      </c>
      <c r="F205" s="13">
        <v>1</v>
      </c>
      <c r="G205" s="12">
        <f>E205*F205</f>
        <v>20700</v>
      </c>
      <c r="H205" s="14">
        <v>0.5</v>
      </c>
      <c r="I205" s="12">
        <f>ROUNDDOWN(G205*H205,-2)</f>
        <v>10300</v>
      </c>
      <c r="J205" s="15"/>
      <c r="K205" s="15"/>
    </row>
    <row r="206" spans="1:11">
      <c r="A206" s="5">
        <v>191</v>
      </c>
      <c r="B206" s="5" t="s">
        <v>67</v>
      </c>
      <c r="C206" s="5" t="s">
        <v>174</v>
      </c>
      <c r="D206" s="5" t="s">
        <v>123</v>
      </c>
      <c r="E206" s="12">
        <v>11000</v>
      </c>
      <c r="F206" s="13">
        <v>1</v>
      </c>
      <c r="G206" s="12">
        <f>E206*F206</f>
        <v>11000</v>
      </c>
      <c r="H206" s="14">
        <v>0.5</v>
      </c>
      <c r="I206" s="12">
        <f>ROUNDDOWN(G206*H206,-2)</f>
        <v>5500</v>
      </c>
      <c r="J206" s="15"/>
      <c r="K206" s="15"/>
    </row>
    <row r="207" spans="1:11">
      <c r="A207" s="22"/>
      <c r="B207" s="22" t="s">
        <v>257</v>
      </c>
      <c r="C207" s="22"/>
      <c r="D207" s="22"/>
      <c r="E207" s="23"/>
      <c r="F207" s="68"/>
      <c r="G207" s="23">
        <f>SUM(G203:G206)</f>
        <v>101780</v>
      </c>
      <c r="H207" s="23"/>
      <c r="I207" s="23">
        <f>SUM(I203:I206)</f>
        <v>50800</v>
      </c>
      <c r="J207" s="24"/>
      <c r="K207" s="24"/>
    </row>
    <row r="208" spans="1:11">
      <c r="A208" s="5">
        <v>192</v>
      </c>
      <c r="B208" s="5" t="s">
        <v>16</v>
      </c>
      <c r="C208" s="5" t="s">
        <v>17</v>
      </c>
      <c r="D208" s="5" t="s">
        <v>15</v>
      </c>
      <c r="E208" s="12">
        <f>(75200-0)/8</f>
        <v>9400</v>
      </c>
      <c r="F208" s="13">
        <v>2</v>
      </c>
      <c r="G208" s="12">
        <f>E208*F208</f>
        <v>18800</v>
      </c>
      <c r="H208" s="14">
        <v>0.5</v>
      </c>
      <c r="I208" s="12">
        <f>ROUNDDOWN(G208*H208,-2)</f>
        <v>9400</v>
      </c>
      <c r="J208" s="15"/>
      <c r="K208" s="15"/>
    </row>
    <row r="209" spans="1:11">
      <c r="A209" s="5">
        <v>193</v>
      </c>
      <c r="B209" s="5" t="s">
        <v>16</v>
      </c>
      <c r="C209" s="5" t="s">
        <v>168</v>
      </c>
      <c r="D209" s="5" t="s">
        <v>15</v>
      </c>
      <c r="E209" s="12">
        <f>(172800-0)/108*9</f>
        <v>14400</v>
      </c>
      <c r="F209" s="13">
        <v>2</v>
      </c>
      <c r="G209" s="12">
        <f>E209*F209</f>
        <v>28800</v>
      </c>
      <c r="H209" s="14">
        <v>0.5</v>
      </c>
      <c r="I209" s="12">
        <f>ROUNDDOWN(G209*H209,-2)</f>
        <v>14400</v>
      </c>
      <c r="J209" s="15"/>
      <c r="K209" s="15"/>
    </row>
    <row r="210" spans="1:11">
      <c r="A210" s="5">
        <v>194</v>
      </c>
      <c r="B210" s="5" t="s">
        <v>16</v>
      </c>
      <c r="C210" s="5" t="s">
        <v>169</v>
      </c>
      <c r="D210" s="5" t="s">
        <v>15</v>
      </c>
      <c r="E210" s="12">
        <f>(115200-0)/72*9</f>
        <v>14400</v>
      </c>
      <c r="F210" s="13">
        <v>2</v>
      </c>
      <c r="G210" s="12">
        <f>E210*F210</f>
        <v>28800</v>
      </c>
      <c r="H210" s="14">
        <v>0.5</v>
      </c>
      <c r="I210" s="12">
        <f>ROUNDDOWN(G210*H210,-2)</f>
        <v>14400</v>
      </c>
      <c r="J210" s="15"/>
      <c r="K210" s="15"/>
    </row>
    <row r="211" spans="1:11">
      <c r="A211" s="22"/>
      <c r="B211" s="22" t="s">
        <v>258</v>
      </c>
      <c r="C211" s="22"/>
      <c r="D211" s="22"/>
      <c r="E211" s="23"/>
      <c r="F211" s="68"/>
      <c r="G211" s="23">
        <f>SUM(G208:G210)</f>
        <v>76400</v>
      </c>
      <c r="H211" s="23"/>
      <c r="I211" s="23">
        <f>SUM(I208:I210)</f>
        <v>38200</v>
      </c>
      <c r="J211" s="24"/>
      <c r="K211" s="24"/>
    </row>
    <row r="212" spans="1:11">
      <c r="A212" s="5">
        <v>195</v>
      </c>
      <c r="B212" s="5" t="s">
        <v>25</v>
      </c>
      <c r="C212" s="5" t="s">
        <v>148</v>
      </c>
      <c r="D212" s="5" t="s">
        <v>15</v>
      </c>
      <c r="E212" s="12">
        <f>(144000)/90*9</f>
        <v>14400</v>
      </c>
      <c r="F212" s="13">
        <v>2</v>
      </c>
      <c r="G212" s="12">
        <f t="shared" ref="G212:G224" si="20">E212*F212</f>
        <v>28800</v>
      </c>
      <c r="H212" s="14">
        <v>0.5</v>
      </c>
      <c r="I212" s="12">
        <f t="shared" ref="I212:I224" si="21">ROUNDDOWN(G212*H212,-2)</f>
        <v>14400</v>
      </c>
      <c r="J212" s="15"/>
      <c r="K212" s="15"/>
    </row>
    <row r="213" spans="1:11">
      <c r="A213" s="5">
        <v>196</v>
      </c>
      <c r="B213" s="5" t="s">
        <v>25</v>
      </c>
      <c r="C213" s="5" t="s">
        <v>107</v>
      </c>
      <c r="D213" s="5" t="s">
        <v>44</v>
      </c>
      <c r="E213" s="12">
        <f>12000+(12000*6%)</f>
        <v>12720</v>
      </c>
      <c r="F213" s="13">
        <v>2</v>
      </c>
      <c r="G213" s="12">
        <f t="shared" si="20"/>
        <v>25440</v>
      </c>
      <c r="H213" s="14">
        <v>0.5</v>
      </c>
      <c r="I213" s="12">
        <f t="shared" si="21"/>
        <v>12700</v>
      </c>
      <c r="J213" s="15"/>
      <c r="K213" s="15"/>
    </row>
    <row r="214" spans="1:11">
      <c r="A214" s="5">
        <v>197</v>
      </c>
      <c r="B214" s="5" t="s">
        <v>25</v>
      </c>
      <c r="C214" s="5" t="s">
        <v>37</v>
      </c>
      <c r="D214" s="5" t="s">
        <v>15</v>
      </c>
      <c r="E214" s="12">
        <f>(345600)/216*9</f>
        <v>14400</v>
      </c>
      <c r="F214" s="13">
        <v>2</v>
      </c>
      <c r="G214" s="12">
        <f t="shared" si="20"/>
        <v>28800</v>
      </c>
      <c r="H214" s="14">
        <v>0.5</v>
      </c>
      <c r="I214" s="12">
        <f t="shared" si="21"/>
        <v>14400</v>
      </c>
      <c r="J214" s="15"/>
      <c r="K214" s="15"/>
    </row>
    <row r="215" spans="1:11">
      <c r="A215" s="5">
        <v>198</v>
      </c>
      <c r="B215" s="5" t="s">
        <v>25</v>
      </c>
      <c r="C215" s="5" t="s">
        <v>165</v>
      </c>
      <c r="D215" s="5" t="s">
        <v>131</v>
      </c>
      <c r="E215" s="12">
        <f>19800</f>
        <v>19800</v>
      </c>
      <c r="F215" s="13">
        <v>2</v>
      </c>
      <c r="G215" s="12">
        <f t="shared" si="20"/>
        <v>39600</v>
      </c>
      <c r="H215" s="14">
        <v>0.5</v>
      </c>
      <c r="I215" s="12">
        <f t="shared" si="21"/>
        <v>19800</v>
      </c>
      <c r="J215" s="15"/>
      <c r="K215" s="15"/>
    </row>
    <row r="216" spans="1:11">
      <c r="A216" s="5">
        <v>199</v>
      </c>
      <c r="B216" s="5" t="s">
        <v>25</v>
      </c>
      <c r="C216" s="5" t="s">
        <v>136</v>
      </c>
      <c r="D216" s="5" t="s">
        <v>15</v>
      </c>
      <c r="E216" s="12">
        <f>41600/4</f>
        <v>10400</v>
      </c>
      <c r="F216" s="13">
        <v>2</v>
      </c>
      <c r="G216" s="12">
        <f t="shared" si="20"/>
        <v>20800</v>
      </c>
      <c r="H216" s="14">
        <v>0.5</v>
      </c>
      <c r="I216" s="12">
        <f t="shared" si="21"/>
        <v>10400</v>
      </c>
      <c r="J216" s="15"/>
      <c r="K216" s="15"/>
    </row>
    <row r="217" spans="1:11">
      <c r="A217" s="5">
        <v>200</v>
      </c>
      <c r="B217" s="5" t="s">
        <v>25</v>
      </c>
      <c r="C217" s="5" t="s">
        <v>156</v>
      </c>
      <c r="D217" s="5" t="s">
        <v>20</v>
      </c>
      <c r="E217" s="12">
        <f>12000+(12000*6%)</f>
        <v>12720</v>
      </c>
      <c r="F217" s="13">
        <v>1</v>
      </c>
      <c r="G217" s="12">
        <f t="shared" si="20"/>
        <v>12720</v>
      </c>
      <c r="H217" s="14">
        <v>0.5</v>
      </c>
      <c r="I217" s="12">
        <f t="shared" si="21"/>
        <v>6300</v>
      </c>
      <c r="J217" s="15"/>
      <c r="K217" s="15"/>
    </row>
    <row r="218" spans="1:11">
      <c r="A218" s="5">
        <v>201</v>
      </c>
      <c r="B218" s="5" t="s">
        <v>25</v>
      </c>
      <c r="C218" s="5" t="s">
        <v>139</v>
      </c>
      <c r="D218" s="5" t="s">
        <v>15</v>
      </c>
      <c r="E218" s="12">
        <f>10900</f>
        <v>10900</v>
      </c>
      <c r="F218" s="13">
        <v>1</v>
      </c>
      <c r="G218" s="12">
        <f t="shared" si="20"/>
        <v>10900</v>
      </c>
      <c r="H218" s="14">
        <v>0.5</v>
      </c>
      <c r="I218" s="12">
        <f t="shared" si="21"/>
        <v>5400</v>
      </c>
      <c r="J218" s="15"/>
      <c r="K218" s="15"/>
    </row>
    <row r="219" spans="1:11">
      <c r="A219" s="5">
        <v>202</v>
      </c>
      <c r="B219" s="5" t="s">
        <v>25</v>
      </c>
      <c r="C219" s="5" t="s">
        <v>171</v>
      </c>
      <c r="D219" s="5" t="s">
        <v>30</v>
      </c>
      <c r="E219" s="12">
        <f>16800</f>
        <v>16800</v>
      </c>
      <c r="F219" s="13">
        <v>1</v>
      </c>
      <c r="G219" s="12">
        <f t="shared" si="20"/>
        <v>16800</v>
      </c>
      <c r="H219" s="14">
        <v>0.5</v>
      </c>
      <c r="I219" s="12">
        <f t="shared" si="21"/>
        <v>8400</v>
      </c>
      <c r="J219" s="15"/>
      <c r="K219" s="15"/>
    </row>
    <row r="220" spans="1:11">
      <c r="A220" s="5">
        <v>203</v>
      </c>
      <c r="B220" s="5" t="s">
        <v>25</v>
      </c>
      <c r="C220" s="5" t="s">
        <v>100</v>
      </c>
      <c r="D220" s="5" t="s">
        <v>15</v>
      </c>
      <c r="E220" s="12">
        <f>10400</f>
        <v>10400</v>
      </c>
      <c r="F220" s="13">
        <v>2</v>
      </c>
      <c r="G220" s="12">
        <f t="shared" si="20"/>
        <v>20800</v>
      </c>
      <c r="H220" s="14">
        <v>0.5</v>
      </c>
      <c r="I220" s="12">
        <f t="shared" si="21"/>
        <v>10400</v>
      </c>
      <c r="J220" s="15"/>
      <c r="K220" s="15"/>
    </row>
    <row r="221" spans="1:11">
      <c r="A221" s="5">
        <v>204</v>
      </c>
      <c r="B221" s="5" t="s">
        <v>25</v>
      </c>
      <c r="C221" s="5" t="s">
        <v>26</v>
      </c>
      <c r="D221" s="5" t="s">
        <v>20</v>
      </c>
      <c r="E221" s="12">
        <f>12000+(12000*6%)</f>
        <v>12720</v>
      </c>
      <c r="F221" s="13">
        <v>2</v>
      </c>
      <c r="G221" s="12">
        <f t="shared" si="20"/>
        <v>25440</v>
      </c>
      <c r="H221" s="14">
        <v>0.5</v>
      </c>
      <c r="I221" s="12">
        <f t="shared" si="21"/>
        <v>12700</v>
      </c>
      <c r="J221" s="15"/>
      <c r="K221" s="15"/>
    </row>
    <row r="222" spans="1:11">
      <c r="A222" s="5">
        <v>205</v>
      </c>
      <c r="B222" s="5" t="s">
        <v>25</v>
      </c>
      <c r="C222" s="5" t="s">
        <v>153</v>
      </c>
      <c r="D222" s="5" t="s">
        <v>15</v>
      </c>
      <c r="E222" s="12">
        <f>10400</f>
        <v>10400</v>
      </c>
      <c r="F222" s="13">
        <v>2</v>
      </c>
      <c r="G222" s="12">
        <f t="shared" si="20"/>
        <v>20800</v>
      </c>
      <c r="H222" s="14">
        <v>0.5</v>
      </c>
      <c r="I222" s="12">
        <f t="shared" si="21"/>
        <v>10400</v>
      </c>
      <c r="J222" s="15"/>
      <c r="K222" s="15"/>
    </row>
    <row r="223" spans="1:11">
      <c r="A223" s="5">
        <v>206</v>
      </c>
      <c r="B223" s="5" t="s">
        <v>25</v>
      </c>
      <c r="C223" s="5" t="s">
        <v>103</v>
      </c>
      <c r="D223" s="5" t="s">
        <v>15</v>
      </c>
      <c r="E223" s="12">
        <f>9500</f>
        <v>9500</v>
      </c>
      <c r="F223" s="13">
        <v>2</v>
      </c>
      <c r="G223" s="12">
        <f t="shared" si="20"/>
        <v>19000</v>
      </c>
      <c r="H223" s="14">
        <v>0.5</v>
      </c>
      <c r="I223" s="12">
        <f t="shared" si="21"/>
        <v>9500</v>
      </c>
      <c r="J223" s="15"/>
      <c r="K223" s="15"/>
    </row>
    <row r="224" spans="1:11">
      <c r="A224" s="5">
        <v>207</v>
      </c>
      <c r="B224" s="5" t="s">
        <v>25</v>
      </c>
      <c r="C224" s="5" t="s">
        <v>163</v>
      </c>
      <c r="D224" s="5" t="s">
        <v>15</v>
      </c>
      <c r="E224" s="12">
        <f>(110544-0)/12</f>
        <v>9212</v>
      </c>
      <c r="F224" s="13">
        <v>2</v>
      </c>
      <c r="G224" s="12">
        <f t="shared" si="20"/>
        <v>18424</v>
      </c>
      <c r="H224" s="14">
        <v>0.5</v>
      </c>
      <c r="I224" s="12">
        <f t="shared" si="21"/>
        <v>9200</v>
      </c>
      <c r="J224" s="15"/>
      <c r="K224" s="15"/>
    </row>
    <row r="225" spans="1:11">
      <c r="A225" s="22"/>
      <c r="B225" s="22" t="s">
        <v>259</v>
      </c>
      <c r="C225" s="22"/>
      <c r="D225" s="22"/>
      <c r="E225" s="23"/>
      <c r="F225" s="68"/>
      <c r="G225" s="23">
        <f>SUM(G212:G224)</f>
        <v>288324</v>
      </c>
      <c r="H225" s="23"/>
      <c r="I225" s="23">
        <f>SUM(I212:I224)</f>
        <v>144000</v>
      </c>
      <c r="J225" s="24"/>
      <c r="K225" s="24"/>
    </row>
    <row r="226" spans="1:11">
      <c r="A226" s="21"/>
      <c r="B226" s="22" t="s">
        <v>260</v>
      </c>
      <c r="C226" s="22"/>
      <c r="D226" s="22"/>
      <c r="E226" s="23"/>
      <c r="F226" s="68"/>
      <c r="G226" s="23">
        <f>G45+G48+G52+G60+G66+G73+G77+G85+G106+G123+G135+G202+G207+G211+G225</f>
        <v>5760303.16285714</v>
      </c>
      <c r="H226" s="23"/>
      <c r="I226" s="23">
        <f>I45+I48+I52+I60+I66+I73+I77+I85+I106+I123+I135+I202+I207+I211+I225</f>
        <v>2905000</v>
      </c>
      <c r="J226" s="24"/>
      <c r="K226" s="24"/>
    </row>
  </sheetData>
  <autoFilter ref="A3:J226">
    <filterColumn colId="9">
      <customFilters>
        <customFilter operator="equal" val="展位单价"/>
      </customFilters>
    </filterColumn>
    <extLst/>
  </autoFilter>
  <mergeCells count="1">
    <mergeCell ref="A1:I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3"/>
  <sheetViews>
    <sheetView tabSelected="1" view="pageBreakPreview" zoomScaleNormal="100" zoomScaleSheetLayoutView="100" workbookViewId="0">
      <pane xSplit="4" ySplit="3" topLeftCell="E4" activePane="bottomRight" state="frozen"/>
      <selection/>
      <selection pane="topRight"/>
      <selection pane="bottomLeft"/>
      <selection pane="bottomRight" activeCell="I139" sqref="I139"/>
    </sheetView>
  </sheetViews>
  <sheetFormatPr defaultColWidth="9" defaultRowHeight="13.5" outlineLevelCol="6"/>
  <cols>
    <col min="1" max="1" width="8.45" style="41" customWidth="true"/>
    <col min="2" max="2" width="13.5416666666667" style="41" customWidth="true"/>
    <col min="3" max="3" width="37.9083333333333" style="42" customWidth="true"/>
    <col min="4" max="4" width="30" style="41" customWidth="true"/>
    <col min="5" max="5" width="8" style="41" customWidth="true"/>
    <col min="6" max="6" width="11.375" style="41" customWidth="true"/>
    <col min="7" max="7" width="9.54166666666667" style="41" customWidth="true"/>
    <col min="8" max="16371" width="8.725" style="41"/>
    <col min="16372" max="16384" width="9" style="41"/>
  </cols>
  <sheetData>
    <row r="1" ht="19.5" spans="1:7">
      <c r="A1" s="43" t="s">
        <v>261</v>
      </c>
      <c r="B1" s="43"/>
      <c r="C1" s="43"/>
      <c r="D1" s="43"/>
      <c r="E1" s="43"/>
      <c r="F1" s="43"/>
      <c r="G1" s="55"/>
    </row>
    <row r="2" ht="14.25" spans="1:7">
      <c r="A2" s="44"/>
      <c r="B2" s="44"/>
      <c r="C2" s="45"/>
      <c r="D2" s="46"/>
      <c r="E2" s="44"/>
      <c r="F2" s="56" t="s">
        <v>1</v>
      </c>
      <c r="G2" s="55"/>
    </row>
    <row r="3" ht="24.75" spans="1:7">
      <c r="A3" s="47" t="s">
        <v>2</v>
      </c>
      <c r="B3" s="47" t="s">
        <v>3</v>
      </c>
      <c r="C3" s="48" t="s">
        <v>4</v>
      </c>
      <c r="D3" s="47" t="s">
        <v>5</v>
      </c>
      <c r="E3" s="57" t="s">
        <v>7</v>
      </c>
      <c r="F3" s="58" t="s">
        <v>10</v>
      </c>
      <c r="G3" s="55"/>
    </row>
    <row r="4" ht="15" customHeight="true" spans="1:6">
      <c r="A4" s="49">
        <v>1</v>
      </c>
      <c r="B4" s="49" t="s">
        <v>13</v>
      </c>
      <c r="C4" s="50" t="s">
        <v>164</v>
      </c>
      <c r="D4" s="49" t="s">
        <v>20</v>
      </c>
      <c r="E4" s="59">
        <v>2</v>
      </c>
      <c r="F4" s="60">
        <v>2300</v>
      </c>
    </row>
    <row r="5" ht="15" customHeight="true" spans="1:6">
      <c r="A5" s="49">
        <v>2</v>
      </c>
      <c r="B5" s="49" t="s">
        <v>13</v>
      </c>
      <c r="C5" s="51" t="s">
        <v>262</v>
      </c>
      <c r="D5" s="49" t="s">
        <v>263</v>
      </c>
      <c r="E5" s="59">
        <v>2</v>
      </c>
      <c r="F5" s="60">
        <v>16200</v>
      </c>
    </row>
    <row r="6" ht="15" customHeight="true" spans="1:6">
      <c r="A6" s="49">
        <v>3</v>
      </c>
      <c r="B6" s="49" t="s">
        <v>13</v>
      </c>
      <c r="C6" s="50" t="s">
        <v>264</v>
      </c>
      <c r="D6" s="49" t="s">
        <v>44</v>
      </c>
      <c r="E6" s="59">
        <v>2</v>
      </c>
      <c r="F6" s="60">
        <v>15300</v>
      </c>
    </row>
    <row r="7" ht="15" customHeight="true" spans="1:6">
      <c r="A7" s="49">
        <v>4</v>
      </c>
      <c r="B7" s="49" t="s">
        <v>13</v>
      </c>
      <c r="C7" s="51" t="s">
        <v>34</v>
      </c>
      <c r="D7" s="49" t="s">
        <v>20</v>
      </c>
      <c r="E7" s="59">
        <v>2</v>
      </c>
      <c r="F7" s="60">
        <v>20900</v>
      </c>
    </row>
    <row r="8" ht="15" customHeight="true" spans="1:6">
      <c r="A8" s="49">
        <v>5</v>
      </c>
      <c r="B8" s="49" t="s">
        <v>13</v>
      </c>
      <c r="C8" s="51" t="s">
        <v>265</v>
      </c>
      <c r="D8" s="49" t="s">
        <v>20</v>
      </c>
      <c r="E8" s="59">
        <v>1</v>
      </c>
      <c r="F8" s="60">
        <v>9800</v>
      </c>
    </row>
    <row r="9" ht="15" customHeight="true" spans="1:6">
      <c r="A9" s="49">
        <v>6</v>
      </c>
      <c r="B9" s="49" t="s">
        <v>13</v>
      </c>
      <c r="C9" s="50" t="s">
        <v>157</v>
      </c>
      <c r="D9" s="49" t="s">
        <v>20</v>
      </c>
      <c r="E9" s="59">
        <v>2</v>
      </c>
      <c r="F9" s="60">
        <v>20900</v>
      </c>
    </row>
    <row r="10" ht="15" customHeight="true" spans="1:6">
      <c r="A10" s="49">
        <v>7</v>
      </c>
      <c r="B10" s="52" t="s">
        <v>13</v>
      </c>
      <c r="C10" s="50" t="s">
        <v>128</v>
      </c>
      <c r="D10" s="49" t="s">
        <v>20</v>
      </c>
      <c r="E10" s="59">
        <v>2</v>
      </c>
      <c r="F10" s="60">
        <v>14400</v>
      </c>
    </row>
    <row r="11" ht="15" customHeight="true" spans="1:6">
      <c r="A11" s="49">
        <v>8</v>
      </c>
      <c r="B11" s="49" t="s">
        <v>13</v>
      </c>
      <c r="C11" s="51" t="s">
        <v>266</v>
      </c>
      <c r="D11" s="49" t="s">
        <v>58</v>
      </c>
      <c r="E11" s="59">
        <v>1</v>
      </c>
      <c r="F11" s="60">
        <v>9200</v>
      </c>
    </row>
    <row r="12" ht="15" customHeight="true" spans="1:6">
      <c r="A12" s="49">
        <v>9</v>
      </c>
      <c r="B12" s="49" t="s">
        <v>13</v>
      </c>
      <c r="C12" s="51" t="s">
        <v>124</v>
      </c>
      <c r="D12" s="49" t="s">
        <v>20</v>
      </c>
      <c r="E12" s="59">
        <v>2</v>
      </c>
      <c r="F12" s="60">
        <v>20900</v>
      </c>
    </row>
    <row r="13" ht="15" customHeight="true" spans="1:6">
      <c r="A13" s="49">
        <v>10</v>
      </c>
      <c r="B13" s="49" t="s">
        <v>13</v>
      </c>
      <c r="C13" s="51" t="s">
        <v>151</v>
      </c>
      <c r="D13" s="49" t="s">
        <v>20</v>
      </c>
      <c r="E13" s="59">
        <v>1</v>
      </c>
      <c r="F13" s="60">
        <v>9800</v>
      </c>
    </row>
    <row r="14" ht="15" customHeight="true" spans="1:6">
      <c r="A14" s="49">
        <v>11</v>
      </c>
      <c r="B14" s="49" t="s">
        <v>13</v>
      </c>
      <c r="C14" s="50" t="s">
        <v>99</v>
      </c>
      <c r="D14" s="49" t="s">
        <v>20</v>
      </c>
      <c r="E14" s="59">
        <v>2</v>
      </c>
      <c r="F14" s="60">
        <v>14400</v>
      </c>
    </row>
    <row r="15" ht="15" customHeight="true" spans="1:6">
      <c r="A15" s="49">
        <v>12</v>
      </c>
      <c r="B15" s="49" t="s">
        <v>13</v>
      </c>
      <c r="C15" s="51" t="s">
        <v>89</v>
      </c>
      <c r="D15" s="49" t="s">
        <v>20</v>
      </c>
      <c r="E15" s="59">
        <v>1</v>
      </c>
      <c r="F15" s="60">
        <v>9800</v>
      </c>
    </row>
    <row r="16" ht="15" customHeight="true" spans="1:6">
      <c r="A16" s="49">
        <v>13</v>
      </c>
      <c r="B16" s="49" t="s">
        <v>13</v>
      </c>
      <c r="C16" s="51" t="s">
        <v>173</v>
      </c>
      <c r="D16" s="49" t="s">
        <v>20</v>
      </c>
      <c r="E16" s="59">
        <v>2</v>
      </c>
      <c r="F16" s="60">
        <v>20900</v>
      </c>
    </row>
    <row r="17" ht="15" customHeight="true" spans="1:6">
      <c r="A17" s="49">
        <v>14</v>
      </c>
      <c r="B17" s="49" t="s">
        <v>13</v>
      </c>
      <c r="C17" s="51" t="s">
        <v>267</v>
      </c>
      <c r="D17" s="49" t="s">
        <v>44</v>
      </c>
      <c r="E17" s="59">
        <v>1</v>
      </c>
      <c r="F17" s="60">
        <v>7600</v>
      </c>
    </row>
    <row r="18" ht="15" customHeight="true" spans="1:6">
      <c r="A18" s="49">
        <v>15</v>
      </c>
      <c r="B18" s="49" t="s">
        <v>13</v>
      </c>
      <c r="C18" s="51" t="s">
        <v>120</v>
      </c>
      <c r="D18" s="49" t="s">
        <v>20</v>
      </c>
      <c r="E18" s="59">
        <v>2</v>
      </c>
      <c r="F18" s="60">
        <v>18900</v>
      </c>
    </row>
    <row r="19" ht="15" customHeight="true" spans="1:6">
      <c r="A19" s="49">
        <v>16</v>
      </c>
      <c r="B19" s="49" t="s">
        <v>13</v>
      </c>
      <c r="C19" s="51" t="s">
        <v>55</v>
      </c>
      <c r="D19" s="49" t="s">
        <v>20</v>
      </c>
      <c r="E19" s="59">
        <v>1</v>
      </c>
      <c r="F19" s="60">
        <v>9800</v>
      </c>
    </row>
    <row r="20" ht="15" customHeight="true" spans="1:6">
      <c r="A20" s="49">
        <v>17</v>
      </c>
      <c r="B20" s="49" t="s">
        <v>13</v>
      </c>
      <c r="C20" s="50" t="s">
        <v>268</v>
      </c>
      <c r="D20" s="49" t="s">
        <v>20</v>
      </c>
      <c r="E20" s="59">
        <v>1</v>
      </c>
      <c r="F20" s="60">
        <v>7900</v>
      </c>
    </row>
    <row r="21" ht="15" customHeight="true" spans="1:6">
      <c r="A21" s="49">
        <v>18</v>
      </c>
      <c r="B21" s="49" t="s">
        <v>13</v>
      </c>
      <c r="C21" s="50" t="s">
        <v>33</v>
      </c>
      <c r="D21" s="49" t="s">
        <v>20</v>
      </c>
      <c r="E21" s="59">
        <v>1</v>
      </c>
      <c r="F21" s="60">
        <v>7600</v>
      </c>
    </row>
    <row r="22" ht="15" customHeight="true" spans="1:6">
      <c r="A22" s="49">
        <v>19</v>
      </c>
      <c r="B22" s="49" t="s">
        <v>13</v>
      </c>
      <c r="C22" s="51" t="s">
        <v>269</v>
      </c>
      <c r="D22" s="49" t="s">
        <v>58</v>
      </c>
      <c r="E22" s="59">
        <v>2</v>
      </c>
      <c r="F22" s="60">
        <v>25200</v>
      </c>
    </row>
    <row r="23" ht="15" customHeight="true" spans="1:6">
      <c r="A23" s="49">
        <v>20</v>
      </c>
      <c r="B23" s="49" t="s">
        <v>13</v>
      </c>
      <c r="C23" s="51" t="s">
        <v>270</v>
      </c>
      <c r="D23" s="49" t="s">
        <v>20</v>
      </c>
      <c r="E23" s="59">
        <v>2</v>
      </c>
      <c r="F23" s="60">
        <v>15900</v>
      </c>
    </row>
    <row r="24" ht="15" customHeight="true" spans="1:6">
      <c r="A24" s="49">
        <v>21</v>
      </c>
      <c r="B24" s="52" t="s">
        <v>13</v>
      </c>
      <c r="C24" s="50" t="s">
        <v>32</v>
      </c>
      <c r="D24" s="49" t="s">
        <v>20</v>
      </c>
      <c r="E24" s="59">
        <v>2</v>
      </c>
      <c r="F24" s="60">
        <v>14400</v>
      </c>
    </row>
    <row r="25" ht="15" customHeight="true" spans="1:6">
      <c r="A25" s="49">
        <v>22</v>
      </c>
      <c r="B25" s="49" t="s">
        <v>13</v>
      </c>
      <c r="C25" s="51" t="s">
        <v>138</v>
      </c>
      <c r="D25" s="49" t="s">
        <v>20</v>
      </c>
      <c r="E25" s="59">
        <v>2</v>
      </c>
      <c r="F25" s="60">
        <v>23900</v>
      </c>
    </row>
    <row r="26" ht="15" customHeight="true" spans="1:6">
      <c r="A26" s="49">
        <v>23</v>
      </c>
      <c r="B26" s="49" t="s">
        <v>13</v>
      </c>
      <c r="C26" s="51" t="s">
        <v>271</v>
      </c>
      <c r="D26" s="49" t="s">
        <v>20</v>
      </c>
      <c r="E26" s="59">
        <v>1</v>
      </c>
      <c r="F26" s="60">
        <v>7900</v>
      </c>
    </row>
    <row r="27" ht="15" customHeight="true" spans="1:6">
      <c r="A27" s="49">
        <v>24</v>
      </c>
      <c r="B27" s="49" t="s">
        <v>13</v>
      </c>
      <c r="C27" s="51" t="s">
        <v>52</v>
      </c>
      <c r="D27" s="49" t="s">
        <v>20</v>
      </c>
      <c r="E27" s="59">
        <v>2</v>
      </c>
      <c r="F27" s="60">
        <v>13500</v>
      </c>
    </row>
    <row r="28" ht="15" customHeight="true" spans="1:6">
      <c r="A28" s="49">
        <v>25</v>
      </c>
      <c r="B28" s="49" t="s">
        <v>13</v>
      </c>
      <c r="C28" s="51" t="s">
        <v>272</v>
      </c>
      <c r="D28" s="49" t="s">
        <v>20</v>
      </c>
      <c r="E28" s="59">
        <v>1</v>
      </c>
      <c r="F28" s="60">
        <v>7900</v>
      </c>
    </row>
    <row r="29" ht="15" customHeight="true" spans="1:6">
      <c r="A29" s="49">
        <v>26</v>
      </c>
      <c r="B29" s="49" t="s">
        <v>13</v>
      </c>
      <c r="C29" s="50" t="s">
        <v>273</v>
      </c>
      <c r="D29" s="49" t="s">
        <v>20</v>
      </c>
      <c r="E29" s="59">
        <v>1</v>
      </c>
      <c r="F29" s="60">
        <v>14900</v>
      </c>
    </row>
    <row r="30" ht="15" customHeight="true" spans="1:6">
      <c r="A30" s="49">
        <v>27</v>
      </c>
      <c r="B30" s="49" t="s">
        <v>13</v>
      </c>
      <c r="C30" s="51" t="s">
        <v>141</v>
      </c>
      <c r="D30" s="49" t="s">
        <v>20</v>
      </c>
      <c r="E30" s="59">
        <v>2</v>
      </c>
      <c r="F30" s="60">
        <v>20900</v>
      </c>
    </row>
    <row r="31" ht="14.5" customHeight="true" spans="1:6">
      <c r="A31" s="49">
        <v>28</v>
      </c>
      <c r="B31" s="49" t="s">
        <v>13</v>
      </c>
      <c r="C31" s="50" t="s">
        <v>194</v>
      </c>
      <c r="D31" s="49" t="s">
        <v>20</v>
      </c>
      <c r="E31" s="59">
        <v>2</v>
      </c>
      <c r="F31" s="60">
        <v>20900</v>
      </c>
    </row>
    <row r="32" ht="15" customHeight="true" spans="1:6">
      <c r="A32" s="49">
        <v>29</v>
      </c>
      <c r="B32" s="49" t="s">
        <v>13</v>
      </c>
      <c r="C32" s="51" t="s">
        <v>274</v>
      </c>
      <c r="D32" s="49" t="s">
        <v>20</v>
      </c>
      <c r="E32" s="59">
        <v>1</v>
      </c>
      <c r="F32" s="60">
        <v>9800</v>
      </c>
    </row>
    <row r="33" ht="15" customHeight="true" spans="1:6">
      <c r="A33" s="49">
        <v>30</v>
      </c>
      <c r="B33" s="49" t="s">
        <v>13</v>
      </c>
      <c r="C33" s="51" t="s">
        <v>275</v>
      </c>
      <c r="D33" s="49" t="s">
        <v>20</v>
      </c>
      <c r="E33" s="59">
        <v>2</v>
      </c>
      <c r="F33" s="60">
        <v>20900</v>
      </c>
    </row>
    <row r="34" s="40" customFormat="true" ht="15" customHeight="true" spans="1:6">
      <c r="A34" s="53"/>
      <c r="B34" s="53"/>
      <c r="C34" s="53" t="s">
        <v>245</v>
      </c>
      <c r="D34" s="53"/>
      <c r="E34" s="61"/>
      <c r="F34" s="62">
        <v>432700</v>
      </c>
    </row>
    <row r="35" ht="15" customHeight="true" spans="1:6">
      <c r="A35" s="49">
        <v>31</v>
      </c>
      <c r="B35" s="49" t="s">
        <v>64</v>
      </c>
      <c r="C35" s="50" t="s">
        <v>65</v>
      </c>
      <c r="D35" s="49" t="s">
        <v>263</v>
      </c>
      <c r="E35" s="59">
        <v>2</v>
      </c>
      <c r="F35" s="60">
        <v>23400</v>
      </c>
    </row>
    <row r="36" ht="15" customHeight="true" spans="1:6">
      <c r="A36" s="49">
        <v>32</v>
      </c>
      <c r="B36" s="49" t="s">
        <v>64</v>
      </c>
      <c r="C36" s="51" t="s">
        <v>276</v>
      </c>
      <c r="D36" s="49" t="s">
        <v>20</v>
      </c>
      <c r="E36" s="59">
        <v>2</v>
      </c>
      <c r="F36" s="60">
        <v>12700</v>
      </c>
    </row>
    <row r="37" s="40" customFormat="true" ht="15" customHeight="true" spans="1:6">
      <c r="A37" s="53"/>
      <c r="B37" s="53"/>
      <c r="C37" s="53" t="s">
        <v>246</v>
      </c>
      <c r="D37" s="53"/>
      <c r="E37" s="61"/>
      <c r="F37" s="62">
        <v>36100</v>
      </c>
    </row>
    <row r="38" ht="15" customHeight="true" spans="1:6">
      <c r="A38" s="49">
        <v>33</v>
      </c>
      <c r="B38" s="49" t="s">
        <v>112</v>
      </c>
      <c r="C38" s="51" t="s">
        <v>113</v>
      </c>
      <c r="D38" s="49" t="s">
        <v>20</v>
      </c>
      <c r="E38" s="59">
        <v>1</v>
      </c>
      <c r="F38" s="60">
        <v>9800</v>
      </c>
    </row>
    <row r="39" ht="15" customHeight="true" spans="1:6">
      <c r="A39" s="49">
        <v>34</v>
      </c>
      <c r="B39" s="49" t="s">
        <v>112</v>
      </c>
      <c r="C39" s="50" t="s">
        <v>176</v>
      </c>
      <c r="D39" s="49" t="s">
        <v>20</v>
      </c>
      <c r="E39" s="59">
        <v>1</v>
      </c>
      <c r="F39" s="60">
        <v>9800</v>
      </c>
    </row>
    <row r="40" ht="15" customHeight="true" spans="1:6">
      <c r="A40" s="49">
        <v>35</v>
      </c>
      <c r="B40" s="49" t="s">
        <v>112</v>
      </c>
      <c r="C40" s="50" t="s">
        <v>187</v>
      </c>
      <c r="D40" s="49" t="s">
        <v>20</v>
      </c>
      <c r="E40" s="59">
        <v>2</v>
      </c>
      <c r="F40" s="60">
        <v>18900</v>
      </c>
    </row>
    <row r="41" ht="15" customHeight="true" spans="1:6">
      <c r="A41" s="49">
        <v>36</v>
      </c>
      <c r="B41" s="49" t="s">
        <v>112</v>
      </c>
      <c r="C41" s="51" t="s">
        <v>172</v>
      </c>
      <c r="D41" s="49" t="s">
        <v>20</v>
      </c>
      <c r="E41" s="59">
        <v>2</v>
      </c>
      <c r="F41" s="60">
        <v>13400</v>
      </c>
    </row>
    <row r="42" s="40" customFormat="true" ht="15" customHeight="true" spans="1:6">
      <c r="A42" s="53"/>
      <c r="B42" s="53"/>
      <c r="C42" s="53" t="s">
        <v>248</v>
      </c>
      <c r="D42" s="53"/>
      <c r="E42" s="61"/>
      <c r="F42" s="62">
        <v>51900</v>
      </c>
    </row>
    <row r="43" ht="15" customHeight="true" spans="1:6">
      <c r="A43" s="49">
        <v>37</v>
      </c>
      <c r="B43" s="49" t="s">
        <v>61</v>
      </c>
      <c r="C43" s="51" t="s">
        <v>277</v>
      </c>
      <c r="D43" s="49" t="s">
        <v>20</v>
      </c>
      <c r="E43" s="59">
        <v>1</v>
      </c>
      <c r="F43" s="60">
        <v>7900</v>
      </c>
    </row>
    <row r="44" ht="15" customHeight="true" spans="1:6">
      <c r="A44" s="49">
        <v>38</v>
      </c>
      <c r="B44" s="49" t="s">
        <v>61</v>
      </c>
      <c r="C44" s="50" t="s">
        <v>278</v>
      </c>
      <c r="D44" s="49" t="s">
        <v>20</v>
      </c>
      <c r="E44" s="59">
        <v>2</v>
      </c>
      <c r="F44" s="60">
        <v>14400</v>
      </c>
    </row>
    <row r="45" ht="15" customHeight="true" spans="1:6">
      <c r="A45" s="49">
        <v>39</v>
      </c>
      <c r="B45" s="49" t="s">
        <v>61</v>
      </c>
      <c r="C45" s="51" t="s">
        <v>279</v>
      </c>
      <c r="D45" s="49" t="s">
        <v>20</v>
      </c>
      <c r="E45" s="59">
        <v>1</v>
      </c>
      <c r="F45" s="60">
        <v>9800</v>
      </c>
    </row>
    <row r="46" s="40" customFormat="true" ht="15" customHeight="true" spans="1:6">
      <c r="A46" s="53"/>
      <c r="B46" s="53"/>
      <c r="C46" s="53" t="s">
        <v>250</v>
      </c>
      <c r="D46" s="53"/>
      <c r="E46" s="61"/>
      <c r="F46" s="62">
        <v>32100</v>
      </c>
    </row>
    <row r="47" ht="15" customHeight="true" spans="1:6">
      <c r="A47" s="49">
        <v>40</v>
      </c>
      <c r="B47" s="49" t="s">
        <v>75</v>
      </c>
      <c r="C47" s="51" t="s">
        <v>145</v>
      </c>
      <c r="D47" s="49" t="s">
        <v>20</v>
      </c>
      <c r="E47" s="59">
        <v>1</v>
      </c>
      <c r="F47" s="60">
        <v>9800</v>
      </c>
    </row>
    <row r="48" ht="15" customHeight="true" spans="1:6">
      <c r="A48" s="49">
        <v>41</v>
      </c>
      <c r="B48" s="49" t="s">
        <v>75</v>
      </c>
      <c r="C48" s="51" t="s">
        <v>280</v>
      </c>
      <c r="D48" s="49" t="s">
        <v>20</v>
      </c>
      <c r="E48" s="59">
        <v>2</v>
      </c>
      <c r="F48" s="60">
        <v>20900</v>
      </c>
    </row>
    <row r="49" ht="15" customHeight="true" spans="1:6">
      <c r="A49" s="49"/>
      <c r="B49" s="49"/>
      <c r="C49" s="53" t="s">
        <v>251</v>
      </c>
      <c r="D49" s="49"/>
      <c r="E49" s="59"/>
      <c r="F49" s="60">
        <v>30700</v>
      </c>
    </row>
    <row r="50" ht="15" customHeight="true" spans="1:6">
      <c r="A50" s="49">
        <v>42</v>
      </c>
      <c r="B50" s="49" t="s">
        <v>98</v>
      </c>
      <c r="C50" s="51" t="s">
        <v>106</v>
      </c>
      <c r="D50" s="49" t="s">
        <v>20</v>
      </c>
      <c r="E50" s="59">
        <v>2</v>
      </c>
      <c r="F50" s="60">
        <v>20900</v>
      </c>
    </row>
    <row r="51" ht="15" customHeight="true" spans="1:6">
      <c r="A51" s="49">
        <v>43</v>
      </c>
      <c r="B51" s="49" t="s">
        <v>98</v>
      </c>
      <c r="C51" s="51" t="s">
        <v>104</v>
      </c>
      <c r="D51" s="49" t="s">
        <v>20</v>
      </c>
      <c r="E51" s="59">
        <v>2</v>
      </c>
      <c r="F51" s="60">
        <v>13800</v>
      </c>
    </row>
    <row r="52" ht="15" customHeight="true" spans="1:6">
      <c r="A52" s="49"/>
      <c r="B52" s="49"/>
      <c r="C52" s="53" t="s">
        <v>252</v>
      </c>
      <c r="D52" s="49"/>
      <c r="E52" s="59"/>
      <c r="F52" s="60">
        <v>34700</v>
      </c>
    </row>
    <row r="53" ht="15" customHeight="true" spans="1:6">
      <c r="A53" s="49">
        <v>44</v>
      </c>
      <c r="B53" s="49" t="s">
        <v>23</v>
      </c>
      <c r="C53" s="50" t="s">
        <v>281</v>
      </c>
      <c r="D53" s="49" t="s">
        <v>263</v>
      </c>
      <c r="E53" s="59">
        <v>1</v>
      </c>
      <c r="F53" s="60">
        <v>10700</v>
      </c>
    </row>
    <row r="54" ht="15" customHeight="true" spans="1:6">
      <c r="A54" s="49">
        <v>45</v>
      </c>
      <c r="B54" s="49" t="s">
        <v>23</v>
      </c>
      <c r="C54" s="51" t="s">
        <v>282</v>
      </c>
      <c r="D54" s="49" t="s">
        <v>20</v>
      </c>
      <c r="E54" s="59">
        <v>2</v>
      </c>
      <c r="F54" s="60">
        <v>20900</v>
      </c>
    </row>
    <row r="55" ht="15" customHeight="true" spans="1:6">
      <c r="A55" s="49">
        <v>46</v>
      </c>
      <c r="B55" s="49" t="s">
        <v>23</v>
      </c>
      <c r="C55" s="50" t="s">
        <v>283</v>
      </c>
      <c r="D55" s="49" t="s">
        <v>20</v>
      </c>
      <c r="E55" s="59">
        <v>1</v>
      </c>
      <c r="F55" s="60">
        <v>9800</v>
      </c>
    </row>
    <row r="56" ht="15" customHeight="true" spans="1:6">
      <c r="A56" s="49"/>
      <c r="B56" s="49"/>
      <c r="C56" s="54" t="s">
        <v>253</v>
      </c>
      <c r="D56" s="49"/>
      <c r="E56" s="59"/>
      <c r="F56" s="60">
        <v>41400</v>
      </c>
    </row>
    <row r="57" ht="15" customHeight="true" spans="1:6">
      <c r="A57" s="49">
        <v>47</v>
      </c>
      <c r="B57" s="49" t="s">
        <v>18</v>
      </c>
      <c r="C57" s="51" t="s">
        <v>284</v>
      </c>
      <c r="D57" s="49" t="s">
        <v>20</v>
      </c>
      <c r="E57" s="59">
        <v>2</v>
      </c>
      <c r="F57" s="60">
        <v>20900</v>
      </c>
    </row>
    <row r="58" ht="15" customHeight="true" spans="1:6">
      <c r="A58" s="49">
        <v>48</v>
      </c>
      <c r="B58" s="49" t="s">
        <v>18</v>
      </c>
      <c r="C58" s="51" t="s">
        <v>19</v>
      </c>
      <c r="D58" s="49" t="s">
        <v>20</v>
      </c>
      <c r="E58" s="59">
        <v>2</v>
      </c>
      <c r="F58" s="60">
        <v>18900</v>
      </c>
    </row>
    <row r="59" ht="15" customHeight="true" spans="1:6">
      <c r="A59" s="49">
        <v>49</v>
      </c>
      <c r="B59" s="49" t="s">
        <v>18</v>
      </c>
      <c r="C59" s="51" t="s">
        <v>285</v>
      </c>
      <c r="D59" s="49" t="s">
        <v>20</v>
      </c>
      <c r="E59" s="59">
        <v>2</v>
      </c>
      <c r="F59" s="60">
        <v>18900</v>
      </c>
    </row>
    <row r="60" ht="15" customHeight="true" spans="1:6">
      <c r="A60" s="49">
        <v>50</v>
      </c>
      <c r="B60" s="49" t="s">
        <v>18</v>
      </c>
      <c r="C60" s="51" t="s">
        <v>286</v>
      </c>
      <c r="D60" s="49" t="s">
        <v>20</v>
      </c>
      <c r="E60" s="59">
        <v>1</v>
      </c>
      <c r="F60" s="60">
        <v>7900</v>
      </c>
    </row>
    <row r="61" ht="15" customHeight="true" spans="1:6">
      <c r="A61" s="49">
        <v>51</v>
      </c>
      <c r="B61" s="49" t="s">
        <v>18</v>
      </c>
      <c r="C61" s="51" t="s">
        <v>50</v>
      </c>
      <c r="D61" s="49" t="s">
        <v>20</v>
      </c>
      <c r="E61" s="59">
        <v>2</v>
      </c>
      <c r="F61" s="60">
        <v>13800</v>
      </c>
    </row>
    <row r="62" ht="15" customHeight="true" spans="1:6">
      <c r="A62" s="49">
        <v>52</v>
      </c>
      <c r="B62" s="49" t="s">
        <v>18</v>
      </c>
      <c r="C62" s="51" t="s">
        <v>232</v>
      </c>
      <c r="D62" s="49" t="s">
        <v>20</v>
      </c>
      <c r="E62" s="59">
        <v>1</v>
      </c>
      <c r="F62" s="60">
        <v>9800</v>
      </c>
    </row>
    <row r="63" ht="15" customHeight="true" spans="1:6">
      <c r="A63" s="49">
        <v>53</v>
      </c>
      <c r="B63" s="49" t="s">
        <v>18</v>
      </c>
      <c r="C63" s="51" t="s">
        <v>287</v>
      </c>
      <c r="D63" s="49" t="s">
        <v>20</v>
      </c>
      <c r="E63" s="59">
        <v>2</v>
      </c>
      <c r="F63" s="60">
        <v>14400</v>
      </c>
    </row>
    <row r="64" ht="15" customHeight="true" spans="1:6">
      <c r="A64" s="49">
        <v>54</v>
      </c>
      <c r="B64" s="49" t="s">
        <v>18</v>
      </c>
      <c r="C64" s="51" t="s">
        <v>288</v>
      </c>
      <c r="D64" s="49" t="s">
        <v>20</v>
      </c>
      <c r="E64" s="59">
        <v>1</v>
      </c>
      <c r="F64" s="60">
        <v>9000</v>
      </c>
    </row>
    <row r="65" ht="15" customHeight="true" spans="1:6">
      <c r="A65" s="49">
        <v>55</v>
      </c>
      <c r="B65" s="49" t="s">
        <v>18</v>
      </c>
      <c r="C65" s="51" t="s">
        <v>289</v>
      </c>
      <c r="D65" s="49" t="s">
        <v>20</v>
      </c>
      <c r="E65" s="59">
        <v>2</v>
      </c>
      <c r="F65" s="60">
        <v>20900</v>
      </c>
    </row>
    <row r="66" s="40" customFormat="true" ht="15" customHeight="true" spans="1:6">
      <c r="A66" s="53"/>
      <c r="B66" s="53"/>
      <c r="C66" s="53" t="s">
        <v>254</v>
      </c>
      <c r="D66" s="53"/>
      <c r="E66" s="61"/>
      <c r="F66" s="62">
        <v>134500</v>
      </c>
    </row>
    <row r="67" ht="15" customHeight="true" spans="1:6">
      <c r="A67" s="49">
        <v>56</v>
      </c>
      <c r="B67" s="49" t="s">
        <v>21</v>
      </c>
      <c r="C67" s="50" t="s">
        <v>96</v>
      </c>
      <c r="D67" s="49" t="s">
        <v>20</v>
      </c>
      <c r="E67" s="59">
        <v>2</v>
      </c>
      <c r="F67" s="60">
        <v>14400</v>
      </c>
    </row>
    <row r="68" ht="15" customHeight="true" spans="1:6">
      <c r="A68" s="49">
        <v>57</v>
      </c>
      <c r="B68" s="49" t="s">
        <v>21</v>
      </c>
      <c r="C68" s="51" t="s">
        <v>290</v>
      </c>
      <c r="D68" s="49" t="s">
        <v>20</v>
      </c>
      <c r="E68" s="59">
        <v>2</v>
      </c>
      <c r="F68" s="60">
        <v>16400</v>
      </c>
    </row>
    <row r="69" ht="15" customHeight="true" spans="1:6">
      <c r="A69" s="49">
        <v>58</v>
      </c>
      <c r="B69" s="49" t="s">
        <v>21</v>
      </c>
      <c r="C69" s="51" t="s">
        <v>231</v>
      </c>
      <c r="D69" s="49" t="s">
        <v>20</v>
      </c>
      <c r="E69" s="59">
        <v>1</v>
      </c>
      <c r="F69" s="60">
        <v>9800</v>
      </c>
    </row>
    <row r="70" ht="15" customHeight="true" spans="1:6">
      <c r="A70" s="49">
        <v>59</v>
      </c>
      <c r="B70" s="49" t="s">
        <v>21</v>
      </c>
      <c r="C70" s="50" t="s">
        <v>291</v>
      </c>
      <c r="D70" s="49" t="s">
        <v>20</v>
      </c>
      <c r="E70" s="59">
        <v>1</v>
      </c>
      <c r="F70" s="60">
        <v>9800</v>
      </c>
    </row>
    <row r="71" ht="15" customHeight="true" spans="1:6">
      <c r="A71" s="49">
        <v>60</v>
      </c>
      <c r="B71" s="49" t="s">
        <v>21</v>
      </c>
      <c r="C71" s="51" t="s">
        <v>292</v>
      </c>
      <c r="D71" s="49" t="s">
        <v>20</v>
      </c>
      <c r="E71" s="59">
        <v>1</v>
      </c>
      <c r="F71" s="60">
        <v>9800</v>
      </c>
    </row>
    <row r="72" ht="15" customHeight="true" spans="1:6">
      <c r="A72" s="49">
        <v>61</v>
      </c>
      <c r="B72" s="49" t="s">
        <v>21</v>
      </c>
      <c r="C72" s="50" t="s">
        <v>293</v>
      </c>
      <c r="D72" s="49" t="s">
        <v>20</v>
      </c>
      <c r="E72" s="59">
        <v>2</v>
      </c>
      <c r="F72" s="60">
        <v>20700</v>
      </c>
    </row>
    <row r="73" ht="15" customHeight="true" spans="1:6">
      <c r="A73" s="49">
        <v>62</v>
      </c>
      <c r="B73" s="49" t="s">
        <v>21</v>
      </c>
      <c r="C73" s="50" t="s">
        <v>185</v>
      </c>
      <c r="D73" s="49" t="s">
        <v>20</v>
      </c>
      <c r="E73" s="59">
        <v>2</v>
      </c>
      <c r="F73" s="60">
        <v>13800</v>
      </c>
    </row>
    <row r="74" s="40" customFormat="true" ht="15" customHeight="true" spans="1:6">
      <c r="A74" s="53"/>
      <c r="B74" s="53"/>
      <c r="C74" s="54" t="s">
        <v>255</v>
      </c>
      <c r="D74" s="53"/>
      <c r="E74" s="61"/>
      <c r="F74" s="62">
        <v>94700</v>
      </c>
    </row>
    <row r="75" ht="15" customHeight="true" spans="1:6">
      <c r="A75" s="49">
        <v>63</v>
      </c>
      <c r="B75" s="49" t="s">
        <v>28</v>
      </c>
      <c r="C75" s="51" t="s">
        <v>294</v>
      </c>
      <c r="D75" s="49" t="s">
        <v>44</v>
      </c>
      <c r="E75" s="59">
        <v>1</v>
      </c>
      <c r="F75" s="60">
        <v>6500</v>
      </c>
    </row>
    <row r="76" ht="15" customHeight="true" spans="1:6">
      <c r="A76" s="49">
        <v>64</v>
      </c>
      <c r="B76" s="49" t="s">
        <v>28</v>
      </c>
      <c r="C76" s="51" t="s">
        <v>295</v>
      </c>
      <c r="D76" s="49" t="s">
        <v>44</v>
      </c>
      <c r="E76" s="59">
        <v>1</v>
      </c>
      <c r="F76" s="60">
        <v>6500</v>
      </c>
    </row>
    <row r="77" ht="15" customHeight="true" spans="1:6">
      <c r="A77" s="49">
        <v>65</v>
      </c>
      <c r="B77" s="49" t="s">
        <v>28</v>
      </c>
      <c r="C77" s="51" t="s">
        <v>296</v>
      </c>
      <c r="D77" s="49" t="s">
        <v>44</v>
      </c>
      <c r="E77" s="59">
        <v>2</v>
      </c>
      <c r="F77" s="60">
        <v>12300</v>
      </c>
    </row>
    <row r="78" ht="15" customHeight="true" spans="1:6">
      <c r="A78" s="49">
        <v>66</v>
      </c>
      <c r="B78" s="49" t="s">
        <v>28</v>
      </c>
      <c r="C78" s="51" t="s">
        <v>297</v>
      </c>
      <c r="D78" s="52" t="s">
        <v>44</v>
      </c>
      <c r="E78" s="59">
        <v>1</v>
      </c>
      <c r="F78" s="60">
        <v>7600</v>
      </c>
    </row>
    <row r="79" ht="15" customHeight="true" spans="1:6">
      <c r="A79" s="49">
        <v>67</v>
      </c>
      <c r="B79" s="49" t="s">
        <v>28</v>
      </c>
      <c r="C79" s="51" t="s">
        <v>298</v>
      </c>
      <c r="D79" s="49" t="s">
        <v>44</v>
      </c>
      <c r="E79" s="59">
        <v>2</v>
      </c>
      <c r="F79" s="60">
        <v>18200</v>
      </c>
    </row>
    <row r="80" ht="15" customHeight="true" spans="1:6">
      <c r="A80" s="49">
        <v>68</v>
      </c>
      <c r="B80" s="49" t="s">
        <v>28</v>
      </c>
      <c r="C80" s="51" t="s">
        <v>299</v>
      </c>
      <c r="D80" s="49" t="s">
        <v>20</v>
      </c>
      <c r="E80" s="59">
        <v>1</v>
      </c>
      <c r="F80" s="60">
        <v>9800</v>
      </c>
    </row>
    <row r="81" ht="15" customHeight="true" spans="1:6">
      <c r="A81" s="49">
        <v>69</v>
      </c>
      <c r="B81" s="49" t="s">
        <v>28</v>
      </c>
      <c r="C81" s="51" t="s">
        <v>300</v>
      </c>
      <c r="D81" s="49" t="s">
        <v>301</v>
      </c>
      <c r="E81" s="59">
        <v>2</v>
      </c>
      <c r="F81" s="60">
        <v>6900</v>
      </c>
    </row>
    <row r="82" ht="15" customHeight="true" spans="1:6">
      <c r="A82" s="49">
        <v>70</v>
      </c>
      <c r="B82" s="49" t="s">
        <v>28</v>
      </c>
      <c r="C82" s="51" t="s">
        <v>95</v>
      </c>
      <c r="D82" s="49" t="s">
        <v>44</v>
      </c>
      <c r="E82" s="59">
        <v>2</v>
      </c>
      <c r="F82" s="60">
        <v>15300</v>
      </c>
    </row>
    <row r="83" ht="15" customHeight="true" spans="1:6">
      <c r="A83" s="49">
        <v>71</v>
      </c>
      <c r="B83" s="49" t="s">
        <v>28</v>
      </c>
      <c r="C83" s="51" t="s">
        <v>302</v>
      </c>
      <c r="D83" s="49" t="s">
        <v>44</v>
      </c>
      <c r="E83" s="59">
        <v>1</v>
      </c>
      <c r="F83" s="60">
        <v>6500</v>
      </c>
    </row>
    <row r="84" ht="15" customHeight="true" spans="1:6">
      <c r="A84" s="49">
        <v>72</v>
      </c>
      <c r="B84" s="49" t="s">
        <v>28</v>
      </c>
      <c r="C84" s="51" t="s">
        <v>208</v>
      </c>
      <c r="D84" s="49" t="s">
        <v>44</v>
      </c>
      <c r="E84" s="59">
        <v>1</v>
      </c>
      <c r="F84" s="60">
        <v>6500</v>
      </c>
    </row>
    <row r="85" ht="15" customHeight="true" spans="1:6">
      <c r="A85" s="49">
        <v>73</v>
      </c>
      <c r="B85" s="49" t="s">
        <v>28</v>
      </c>
      <c r="C85" s="51" t="s">
        <v>83</v>
      </c>
      <c r="D85" s="49" t="s">
        <v>58</v>
      </c>
      <c r="E85" s="59">
        <v>1</v>
      </c>
      <c r="F85" s="60">
        <v>9000</v>
      </c>
    </row>
    <row r="86" ht="15" customHeight="true" spans="1:6">
      <c r="A86" s="49">
        <v>74</v>
      </c>
      <c r="B86" s="49" t="s">
        <v>28</v>
      </c>
      <c r="C86" s="51" t="s">
        <v>43</v>
      </c>
      <c r="D86" s="49" t="s">
        <v>44</v>
      </c>
      <c r="E86" s="59">
        <v>2</v>
      </c>
      <c r="F86" s="60">
        <v>18200</v>
      </c>
    </row>
    <row r="87" ht="15" customHeight="true" spans="1:6">
      <c r="A87" s="49">
        <v>75</v>
      </c>
      <c r="B87" s="49" t="s">
        <v>28</v>
      </c>
      <c r="C87" s="51" t="s">
        <v>303</v>
      </c>
      <c r="D87" s="49" t="s">
        <v>44</v>
      </c>
      <c r="E87" s="59">
        <v>2</v>
      </c>
      <c r="F87" s="60">
        <v>14300</v>
      </c>
    </row>
    <row r="88" ht="15" customHeight="true" spans="1:6">
      <c r="A88" s="49">
        <v>76</v>
      </c>
      <c r="B88" s="49" t="s">
        <v>28</v>
      </c>
      <c r="C88" s="51" t="s">
        <v>215</v>
      </c>
      <c r="D88" s="49" t="s">
        <v>44</v>
      </c>
      <c r="E88" s="59">
        <v>1</v>
      </c>
      <c r="F88" s="60">
        <v>7500</v>
      </c>
    </row>
    <row r="89" ht="15" customHeight="true" spans="1:6">
      <c r="A89" s="49">
        <v>77</v>
      </c>
      <c r="B89" s="49" t="s">
        <v>28</v>
      </c>
      <c r="C89" s="51" t="s">
        <v>304</v>
      </c>
      <c r="D89" s="49" t="s">
        <v>44</v>
      </c>
      <c r="E89" s="59">
        <v>2</v>
      </c>
      <c r="F89" s="60">
        <v>15300</v>
      </c>
    </row>
    <row r="90" ht="15" customHeight="true" spans="1:6">
      <c r="A90" s="49">
        <v>78</v>
      </c>
      <c r="B90" s="49" t="s">
        <v>28</v>
      </c>
      <c r="C90" s="51" t="s">
        <v>175</v>
      </c>
      <c r="D90" s="49" t="s">
        <v>20</v>
      </c>
      <c r="E90" s="59">
        <v>2</v>
      </c>
      <c r="F90" s="60">
        <v>13800</v>
      </c>
    </row>
    <row r="91" ht="15" customHeight="true" spans="1:6">
      <c r="A91" s="49">
        <v>79</v>
      </c>
      <c r="B91" s="49" t="s">
        <v>28</v>
      </c>
      <c r="C91" s="51" t="s">
        <v>305</v>
      </c>
      <c r="D91" s="49" t="s">
        <v>58</v>
      </c>
      <c r="E91" s="59">
        <v>1</v>
      </c>
      <c r="F91" s="60">
        <v>9000</v>
      </c>
    </row>
    <row r="92" ht="15" customHeight="true" spans="1:6">
      <c r="A92" s="49">
        <v>80</v>
      </c>
      <c r="B92" s="49" t="s">
        <v>28</v>
      </c>
      <c r="C92" s="51" t="s">
        <v>306</v>
      </c>
      <c r="D92" s="49" t="s">
        <v>44</v>
      </c>
      <c r="E92" s="59">
        <v>1</v>
      </c>
      <c r="F92" s="60">
        <v>6500</v>
      </c>
    </row>
    <row r="93" ht="15" customHeight="true" spans="1:6">
      <c r="A93" s="49">
        <v>81</v>
      </c>
      <c r="B93" s="49" t="s">
        <v>28</v>
      </c>
      <c r="C93" s="51" t="s">
        <v>307</v>
      </c>
      <c r="D93" s="49" t="s">
        <v>44</v>
      </c>
      <c r="E93" s="59">
        <v>2</v>
      </c>
      <c r="F93" s="60">
        <v>13100</v>
      </c>
    </row>
    <row r="94" ht="15" customHeight="true" spans="1:6">
      <c r="A94" s="49">
        <v>82</v>
      </c>
      <c r="B94" s="49" t="s">
        <v>28</v>
      </c>
      <c r="C94" s="51" t="s">
        <v>308</v>
      </c>
      <c r="D94" s="49" t="s">
        <v>44</v>
      </c>
      <c r="E94" s="59">
        <v>2</v>
      </c>
      <c r="F94" s="60">
        <v>14100</v>
      </c>
    </row>
    <row r="95" ht="15" customHeight="true" spans="1:6">
      <c r="A95" s="49">
        <v>83</v>
      </c>
      <c r="B95" s="49" t="s">
        <v>28</v>
      </c>
      <c r="C95" s="51" t="s">
        <v>309</v>
      </c>
      <c r="D95" s="49" t="s">
        <v>44</v>
      </c>
      <c r="E95" s="59">
        <v>2</v>
      </c>
      <c r="F95" s="60">
        <v>14800</v>
      </c>
    </row>
    <row r="96" ht="15" customHeight="true" spans="1:6">
      <c r="A96" s="49">
        <v>84</v>
      </c>
      <c r="B96" s="49" t="s">
        <v>28</v>
      </c>
      <c r="C96" s="51" t="s">
        <v>310</v>
      </c>
      <c r="D96" s="49" t="s">
        <v>44</v>
      </c>
      <c r="E96" s="59">
        <v>2</v>
      </c>
      <c r="F96" s="60">
        <v>13100</v>
      </c>
    </row>
    <row r="97" ht="15" customHeight="true" spans="1:6">
      <c r="A97" s="49">
        <v>85</v>
      </c>
      <c r="B97" s="49" t="s">
        <v>28</v>
      </c>
      <c r="C97" s="51" t="s">
        <v>205</v>
      </c>
      <c r="D97" s="49" t="s">
        <v>44</v>
      </c>
      <c r="E97" s="59">
        <v>1</v>
      </c>
      <c r="F97" s="60">
        <v>7500</v>
      </c>
    </row>
    <row r="98" ht="15" customHeight="true" spans="1:6">
      <c r="A98" s="49">
        <v>86</v>
      </c>
      <c r="B98" s="49" t="s">
        <v>28</v>
      </c>
      <c r="C98" s="51" t="s">
        <v>311</v>
      </c>
      <c r="D98" s="49" t="s">
        <v>44</v>
      </c>
      <c r="E98" s="59">
        <v>2</v>
      </c>
      <c r="F98" s="60">
        <v>14100</v>
      </c>
    </row>
    <row r="99" ht="15" customHeight="true" spans="1:6">
      <c r="A99" s="49">
        <v>87</v>
      </c>
      <c r="B99" s="49" t="s">
        <v>28</v>
      </c>
      <c r="C99" s="51" t="s">
        <v>312</v>
      </c>
      <c r="D99" s="49" t="s">
        <v>44</v>
      </c>
      <c r="E99" s="59">
        <v>2</v>
      </c>
      <c r="F99" s="60">
        <v>13100</v>
      </c>
    </row>
    <row r="100" ht="15" customHeight="true" spans="1:6">
      <c r="A100" s="49">
        <v>88</v>
      </c>
      <c r="B100" s="49" t="s">
        <v>28</v>
      </c>
      <c r="C100" s="51" t="s">
        <v>117</v>
      </c>
      <c r="D100" s="49" t="s">
        <v>44</v>
      </c>
      <c r="E100" s="59">
        <v>2</v>
      </c>
      <c r="F100" s="60">
        <v>12500</v>
      </c>
    </row>
    <row r="101" ht="15" customHeight="true" spans="1:6">
      <c r="A101" s="49">
        <v>89</v>
      </c>
      <c r="B101" s="49" t="s">
        <v>28</v>
      </c>
      <c r="C101" s="51" t="s">
        <v>313</v>
      </c>
      <c r="D101" s="49" t="s">
        <v>44</v>
      </c>
      <c r="E101" s="59">
        <v>2</v>
      </c>
      <c r="F101" s="60">
        <v>14500</v>
      </c>
    </row>
    <row r="102" ht="15" customHeight="true" spans="1:6">
      <c r="A102" s="49">
        <v>90</v>
      </c>
      <c r="B102" s="49" t="s">
        <v>28</v>
      </c>
      <c r="C102" s="51" t="s">
        <v>314</v>
      </c>
      <c r="D102" s="49" t="s">
        <v>44</v>
      </c>
      <c r="E102" s="59">
        <v>2</v>
      </c>
      <c r="F102" s="60">
        <v>13100</v>
      </c>
    </row>
    <row r="103" ht="15" customHeight="true" spans="1:6">
      <c r="A103" s="49">
        <v>91</v>
      </c>
      <c r="B103" s="49" t="s">
        <v>28</v>
      </c>
      <c r="C103" s="51" t="s">
        <v>315</v>
      </c>
      <c r="D103" s="49" t="s">
        <v>44</v>
      </c>
      <c r="E103" s="59">
        <v>2</v>
      </c>
      <c r="F103" s="60">
        <v>18800</v>
      </c>
    </row>
    <row r="104" ht="15" customHeight="true" spans="1:6">
      <c r="A104" s="49">
        <v>92</v>
      </c>
      <c r="B104" s="49" t="s">
        <v>28</v>
      </c>
      <c r="C104" s="51" t="s">
        <v>199</v>
      </c>
      <c r="D104" s="49" t="s">
        <v>44</v>
      </c>
      <c r="E104" s="59">
        <v>2</v>
      </c>
      <c r="F104" s="60">
        <v>14400</v>
      </c>
    </row>
    <row r="105" ht="15" customHeight="true" spans="1:6">
      <c r="A105" s="49">
        <v>93</v>
      </c>
      <c r="B105" s="49" t="s">
        <v>28</v>
      </c>
      <c r="C105" s="50" t="s">
        <v>316</v>
      </c>
      <c r="D105" s="49" t="s">
        <v>20</v>
      </c>
      <c r="E105" s="59">
        <v>1</v>
      </c>
      <c r="F105" s="60">
        <v>9800</v>
      </c>
    </row>
    <row r="106" ht="15" customHeight="true" spans="1:6">
      <c r="A106" s="49">
        <v>94</v>
      </c>
      <c r="B106" s="49" t="s">
        <v>28</v>
      </c>
      <c r="C106" s="51" t="s">
        <v>317</v>
      </c>
      <c r="D106" s="49" t="s">
        <v>301</v>
      </c>
      <c r="E106" s="59">
        <v>2</v>
      </c>
      <c r="F106" s="60">
        <v>6900</v>
      </c>
    </row>
    <row r="107" ht="15" customHeight="true" spans="1:6">
      <c r="A107" s="49">
        <v>95</v>
      </c>
      <c r="B107" s="49" t="s">
        <v>28</v>
      </c>
      <c r="C107" s="51" t="s">
        <v>318</v>
      </c>
      <c r="D107" s="49" t="s">
        <v>44</v>
      </c>
      <c r="E107" s="59">
        <v>2</v>
      </c>
      <c r="F107" s="60">
        <v>14000</v>
      </c>
    </row>
    <row r="108" ht="15" customHeight="true" spans="1:6">
      <c r="A108" s="49">
        <v>96</v>
      </c>
      <c r="B108" s="49" t="s">
        <v>28</v>
      </c>
      <c r="C108" s="51" t="s">
        <v>319</v>
      </c>
      <c r="D108" s="49" t="s">
        <v>44</v>
      </c>
      <c r="E108" s="59">
        <v>1</v>
      </c>
      <c r="F108" s="60">
        <v>6500</v>
      </c>
    </row>
    <row r="109" ht="15" customHeight="true" spans="1:6">
      <c r="A109" s="49">
        <v>97</v>
      </c>
      <c r="B109" s="49" t="s">
        <v>28</v>
      </c>
      <c r="C109" s="51" t="s">
        <v>217</v>
      </c>
      <c r="D109" s="49" t="s">
        <v>44</v>
      </c>
      <c r="E109" s="59">
        <v>2</v>
      </c>
      <c r="F109" s="60">
        <v>14300</v>
      </c>
    </row>
    <row r="110" ht="15" customHeight="true" spans="1:6">
      <c r="A110" s="49">
        <v>98</v>
      </c>
      <c r="B110" s="49" t="s">
        <v>28</v>
      </c>
      <c r="C110" s="51" t="s">
        <v>216</v>
      </c>
      <c r="D110" s="49" t="s">
        <v>44</v>
      </c>
      <c r="E110" s="59">
        <v>2</v>
      </c>
      <c r="F110" s="60">
        <v>14300</v>
      </c>
    </row>
    <row r="111" ht="15" customHeight="true" spans="1:6">
      <c r="A111" s="49">
        <v>99</v>
      </c>
      <c r="B111" s="49" t="s">
        <v>28</v>
      </c>
      <c r="C111" s="50" t="s">
        <v>320</v>
      </c>
      <c r="D111" s="49" t="s">
        <v>44</v>
      </c>
      <c r="E111" s="59">
        <v>2</v>
      </c>
      <c r="F111" s="60">
        <v>13400</v>
      </c>
    </row>
    <row r="112" ht="15" customHeight="true" spans="1:6">
      <c r="A112" s="49">
        <v>100</v>
      </c>
      <c r="B112" s="49" t="s">
        <v>28</v>
      </c>
      <c r="C112" s="51" t="s">
        <v>321</v>
      </c>
      <c r="D112" s="49" t="s">
        <v>44</v>
      </c>
      <c r="E112" s="59">
        <v>1</v>
      </c>
      <c r="F112" s="60">
        <v>7600</v>
      </c>
    </row>
    <row r="113" ht="15" customHeight="true" spans="1:6">
      <c r="A113" s="49">
        <v>101</v>
      </c>
      <c r="B113" s="49" t="s">
        <v>28</v>
      </c>
      <c r="C113" s="51" t="s">
        <v>322</v>
      </c>
      <c r="D113" s="49" t="s">
        <v>44</v>
      </c>
      <c r="E113" s="59">
        <v>2</v>
      </c>
      <c r="F113" s="60">
        <v>13100</v>
      </c>
    </row>
    <row r="114" ht="15" customHeight="true" spans="1:6">
      <c r="A114" s="49">
        <v>102</v>
      </c>
      <c r="B114" s="49" t="s">
        <v>28</v>
      </c>
      <c r="C114" s="51" t="s">
        <v>323</v>
      </c>
      <c r="D114" s="49" t="s">
        <v>44</v>
      </c>
      <c r="E114" s="59">
        <v>1</v>
      </c>
      <c r="F114" s="60">
        <v>6500</v>
      </c>
    </row>
    <row r="115" ht="15" customHeight="true" spans="1:6">
      <c r="A115" s="49">
        <v>103</v>
      </c>
      <c r="B115" s="49" t="s">
        <v>28</v>
      </c>
      <c r="C115" s="51" t="s">
        <v>324</v>
      </c>
      <c r="D115" s="49" t="s">
        <v>301</v>
      </c>
      <c r="E115" s="59">
        <v>2</v>
      </c>
      <c r="F115" s="60">
        <v>6900</v>
      </c>
    </row>
    <row r="116" ht="15" customHeight="true" spans="1:6">
      <c r="A116" s="49">
        <v>104</v>
      </c>
      <c r="B116" s="49" t="s">
        <v>28</v>
      </c>
      <c r="C116" s="51" t="s">
        <v>29</v>
      </c>
      <c r="D116" s="49" t="s">
        <v>44</v>
      </c>
      <c r="E116" s="59">
        <v>2</v>
      </c>
      <c r="F116" s="60">
        <v>23600</v>
      </c>
    </row>
    <row r="117" ht="15" customHeight="true" spans="1:6">
      <c r="A117" s="49">
        <v>105</v>
      </c>
      <c r="B117" s="49" t="s">
        <v>28</v>
      </c>
      <c r="C117" s="51" t="s">
        <v>204</v>
      </c>
      <c r="D117" s="49" t="s">
        <v>44</v>
      </c>
      <c r="E117" s="59">
        <v>2</v>
      </c>
      <c r="F117" s="60">
        <v>14000</v>
      </c>
    </row>
    <row r="118" ht="15" customHeight="true" spans="1:6">
      <c r="A118" s="49">
        <v>106</v>
      </c>
      <c r="B118" s="49" t="s">
        <v>28</v>
      </c>
      <c r="C118" s="51" t="s">
        <v>325</v>
      </c>
      <c r="D118" s="49" t="s">
        <v>301</v>
      </c>
      <c r="E118" s="59">
        <v>2</v>
      </c>
      <c r="F118" s="60">
        <v>6900</v>
      </c>
    </row>
    <row r="119" ht="15" customHeight="true" spans="1:6">
      <c r="A119" s="49">
        <v>107</v>
      </c>
      <c r="B119" s="49" t="s">
        <v>28</v>
      </c>
      <c r="C119" s="51" t="s">
        <v>326</v>
      </c>
      <c r="D119" s="49" t="s">
        <v>44</v>
      </c>
      <c r="E119" s="59">
        <v>1</v>
      </c>
      <c r="F119" s="60">
        <v>6500</v>
      </c>
    </row>
    <row r="120" ht="15" customHeight="true" spans="1:6">
      <c r="A120" s="49">
        <v>108</v>
      </c>
      <c r="B120" s="49" t="s">
        <v>28</v>
      </c>
      <c r="C120" s="51" t="s">
        <v>327</v>
      </c>
      <c r="D120" s="49" t="s">
        <v>44</v>
      </c>
      <c r="E120" s="59">
        <v>2</v>
      </c>
      <c r="F120" s="60">
        <v>13100</v>
      </c>
    </row>
    <row r="121" ht="15" customHeight="true" spans="1:6">
      <c r="A121" s="49">
        <v>109</v>
      </c>
      <c r="B121" s="49" t="s">
        <v>28</v>
      </c>
      <c r="C121" s="51" t="s">
        <v>328</v>
      </c>
      <c r="D121" s="49" t="s">
        <v>44</v>
      </c>
      <c r="E121" s="59">
        <v>2</v>
      </c>
      <c r="F121" s="60">
        <v>13400</v>
      </c>
    </row>
    <row r="122" s="40" customFormat="true" ht="15" customHeight="true" spans="1:6">
      <c r="A122" s="53"/>
      <c r="B122" s="53"/>
      <c r="C122" s="53" t="s">
        <v>256</v>
      </c>
      <c r="D122" s="53"/>
      <c r="E122" s="61"/>
      <c r="F122" s="62">
        <v>543600</v>
      </c>
    </row>
    <row r="123" ht="15" customHeight="true" spans="1:6">
      <c r="A123" s="49">
        <v>110</v>
      </c>
      <c r="B123" s="49" t="s">
        <v>67</v>
      </c>
      <c r="C123" s="51" t="s">
        <v>329</v>
      </c>
      <c r="D123" s="49" t="s">
        <v>44</v>
      </c>
      <c r="E123" s="59">
        <v>2</v>
      </c>
      <c r="F123" s="60">
        <v>14800</v>
      </c>
    </row>
    <row r="124" ht="15" customHeight="true" spans="1:6">
      <c r="A124" s="49">
        <v>111</v>
      </c>
      <c r="B124" s="49" t="s">
        <v>67</v>
      </c>
      <c r="C124" s="51" t="s">
        <v>144</v>
      </c>
      <c r="D124" s="49" t="s">
        <v>20</v>
      </c>
      <c r="E124" s="59">
        <v>2</v>
      </c>
      <c r="F124" s="60">
        <v>13800</v>
      </c>
    </row>
    <row r="125" s="40" customFormat="true" ht="15" customHeight="true" spans="1:6">
      <c r="A125" s="53"/>
      <c r="B125" s="53"/>
      <c r="C125" s="53" t="s">
        <v>257</v>
      </c>
      <c r="D125" s="53"/>
      <c r="E125" s="61"/>
      <c r="F125" s="62">
        <v>28600</v>
      </c>
    </row>
    <row r="126" ht="15" customHeight="true" spans="1:6">
      <c r="A126" s="49">
        <v>112</v>
      </c>
      <c r="B126" s="49" t="s">
        <v>25</v>
      </c>
      <c r="C126" s="51" t="s">
        <v>107</v>
      </c>
      <c r="D126" s="49" t="s">
        <v>20</v>
      </c>
      <c r="E126" s="59">
        <v>2</v>
      </c>
      <c r="F126" s="60">
        <v>18900</v>
      </c>
    </row>
    <row r="127" ht="15" customHeight="true" spans="1:6">
      <c r="A127" s="49">
        <v>113</v>
      </c>
      <c r="B127" s="49" t="s">
        <v>25</v>
      </c>
      <c r="C127" s="50" t="s">
        <v>330</v>
      </c>
      <c r="D127" s="49" t="s">
        <v>263</v>
      </c>
      <c r="E127" s="59">
        <v>2</v>
      </c>
      <c r="F127" s="60">
        <v>13500</v>
      </c>
    </row>
    <row r="128" ht="15" customHeight="true" spans="1:6">
      <c r="A128" s="49">
        <v>114</v>
      </c>
      <c r="B128" s="49" t="s">
        <v>25</v>
      </c>
      <c r="C128" s="51" t="s">
        <v>156</v>
      </c>
      <c r="D128" s="49" t="s">
        <v>20</v>
      </c>
      <c r="E128" s="59">
        <v>1</v>
      </c>
      <c r="F128" s="60">
        <v>9800</v>
      </c>
    </row>
    <row r="129" ht="15" customHeight="true" spans="1:6">
      <c r="A129" s="49">
        <v>115</v>
      </c>
      <c r="B129" s="49" t="s">
        <v>25</v>
      </c>
      <c r="C129" s="51" t="s">
        <v>26</v>
      </c>
      <c r="D129" s="49" t="s">
        <v>20</v>
      </c>
      <c r="E129" s="59">
        <v>2</v>
      </c>
      <c r="F129" s="60">
        <v>13800</v>
      </c>
    </row>
    <row r="130" ht="15" customHeight="true" spans="1:6">
      <c r="A130" s="49">
        <v>116</v>
      </c>
      <c r="B130" s="49" t="s">
        <v>25</v>
      </c>
      <c r="C130" s="51" t="s">
        <v>331</v>
      </c>
      <c r="D130" s="49" t="s">
        <v>20</v>
      </c>
      <c r="E130" s="59">
        <v>1</v>
      </c>
      <c r="F130" s="60">
        <v>9800</v>
      </c>
    </row>
    <row r="131" ht="15" customHeight="true" spans="1:6">
      <c r="A131" s="49">
        <v>117</v>
      </c>
      <c r="B131" s="49" t="s">
        <v>25</v>
      </c>
      <c r="C131" s="51" t="s">
        <v>332</v>
      </c>
      <c r="D131" s="49" t="s">
        <v>20</v>
      </c>
      <c r="E131" s="59">
        <v>2</v>
      </c>
      <c r="F131" s="60">
        <v>13800</v>
      </c>
    </row>
    <row r="132" s="40" customFormat="true" ht="15" customHeight="true" spans="1:6">
      <c r="A132" s="53"/>
      <c r="B132" s="53"/>
      <c r="C132" s="53" t="s">
        <v>259</v>
      </c>
      <c r="D132" s="53"/>
      <c r="E132" s="61"/>
      <c r="F132" s="62">
        <v>79600</v>
      </c>
    </row>
    <row r="133" s="40" customFormat="true" ht="14.25" spans="1:6">
      <c r="A133" s="63"/>
      <c r="B133" s="63"/>
      <c r="C133" s="63" t="s">
        <v>260</v>
      </c>
      <c r="D133" s="63"/>
      <c r="E133" s="66"/>
      <c r="F133" s="62">
        <v>1540600</v>
      </c>
    </row>
    <row r="134" ht="14.25" spans="1:7">
      <c r="A134" s="64"/>
      <c r="B134" s="64"/>
      <c r="C134" s="65"/>
      <c r="D134" s="64"/>
      <c r="E134" s="44"/>
      <c r="F134" s="67"/>
      <c r="G134" s="55"/>
    </row>
    <row r="135" ht="14.25" spans="1:7">
      <c r="A135" s="64"/>
      <c r="B135" s="64"/>
      <c r="C135" s="65"/>
      <c r="D135" s="64"/>
      <c r="E135" s="44"/>
      <c r="F135" s="67"/>
      <c r="G135" s="55"/>
    </row>
    <row r="136" ht="14.25" spans="1:7">
      <c r="A136" s="64"/>
      <c r="B136" s="64"/>
      <c r="C136" s="65"/>
      <c r="D136" s="64"/>
      <c r="E136" s="44"/>
      <c r="F136" s="67"/>
      <c r="G136" s="55"/>
    </row>
    <row r="137" ht="14.25" spans="1:7">
      <c r="A137" s="64"/>
      <c r="B137" s="64"/>
      <c r="C137" s="65"/>
      <c r="D137" s="64"/>
      <c r="E137" s="44"/>
      <c r="F137" s="67"/>
      <c r="G137" s="55"/>
    </row>
    <row r="138" ht="14.25" spans="1:7">
      <c r="A138" s="64"/>
      <c r="B138" s="64"/>
      <c r="C138" s="65"/>
      <c r="D138" s="64"/>
      <c r="E138" s="44"/>
      <c r="F138" s="67"/>
      <c r="G138" s="55"/>
    </row>
    <row r="139" ht="14.25" spans="1:7">
      <c r="A139" s="64"/>
      <c r="B139" s="64"/>
      <c r="C139" s="65"/>
      <c r="D139" s="64"/>
      <c r="E139" s="44"/>
      <c r="F139" s="67"/>
      <c r="G139" s="55"/>
    </row>
    <row r="140" ht="14.25" spans="1:7">
      <c r="A140" s="64"/>
      <c r="B140" s="64"/>
      <c r="C140" s="65"/>
      <c r="D140" s="64"/>
      <c r="E140" s="44"/>
      <c r="F140" s="67"/>
      <c r="G140" s="55"/>
    </row>
    <row r="141" ht="14.25" spans="1:7">
      <c r="A141" s="64"/>
      <c r="B141" s="64"/>
      <c r="C141" s="65"/>
      <c r="D141" s="64"/>
      <c r="E141" s="44"/>
      <c r="F141" s="67"/>
      <c r="G141" s="55"/>
    </row>
    <row r="142" ht="14.25" spans="1:7">
      <c r="A142" s="64"/>
      <c r="B142" s="64"/>
      <c r="C142" s="65"/>
      <c r="D142" s="64"/>
      <c r="E142" s="44"/>
      <c r="F142" s="67"/>
      <c r="G142" s="55"/>
    </row>
    <row r="143" ht="14.25" spans="1:7">
      <c r="A143" s="64"/>
      <c r="B143" s="64"/>
      <c r="C143" s="65"/>
      <c r="D143" s="64"/>
      <c r="E143" s="44"/>
      <c r="F143" s="67"/>
      <c r="G143" s="55"/>
    </row>
    <row r="144" ht="14.25" spans="1:7">
      <c r="A144" s="64"/>
      <c r="B144" s="64"/>
      <c r="C144" s="65"/>
      <c r="D144" s="64"/>
      <c r="E144" s="44"/>
      <c r="F144" s="67"/>
      <c r="G144" s="55"/>
    </row>
    <row r="145" ht="14.25" spans="1:7">
      <c r="A145" s="64"/>
      <c r="B145" s="64"/>
      <c r="C145" s="65"/>
      <c r="D145" s="64"/>
      <c r="E145" s="44"/>
      <c r="F145" s="67"/>
      <c r="G145" s="55"/>
    </row>
    <row r="146" ht="14.25" spans="1:7">
      <c r="A146" s="64"/>
      <c r="B146" s="64"/>
      <c r="C146" s="65"/>
      <c r="D146" s="64"/>
      <c r="E146" s="44"/>
      <c r="F146" s="67"/>
      <c r="G146" s="55"/>
    </row>
    <row r="147" ht="14.25" spans="1:7">
      <c r="A147" s="64"/>
      <c r="B147" s="64"/>
      <c r="C147" s="65"/>
      <c r="D147" s="64"/>
      <c r="E147" s="44" t="s">
        <v>333</v>
      </c>
      <c r="F147" s="67"/>
      <c r="G147" s="55"/>
    </row>
    <row r="148" ht="14.25" spans="1:7">
      <c r="A148" s="64"/>
      <c r="B148" s="64"/>
      <c r="C148" s="65"/>
      <c r="D148" s="64"/>
      <c r="E148" s="44"/>
      <c r="F148" s="67"/>
      <c r="G148" s="55"/>
    </row>
    <row r="149" ht="14.25" spans="1:7">
      <c r="A149" s="64"/>
      <c r="B149" s="64"/>
      <c r="C149" s="65"/>
      <c r="D149" s="64"/>
      <c r="E149" s="44"/>
      <c r="F149" s="67"/>
      <c r="G149" s="55"/>
    </row>
    <row r="150" ht="14.25" spans="1:7">
      <c r="A150" s="64"/>
      <c r="B150" s="64"/>
      <c r="C150" s="65"/>
      <c r="D150" s="64"/>
      <c r="E150" s="44"/>
      <c r="F150" s="67"/>
      <c r="G150" s="55"/>
    </row>
    <row r="151" ht="14.25" spans="1:7">
      <c r="A151" s="64"/>
      <c r="B151" s="64"/>
      <c r="C151" s="65"/>
      <c r="D151" s="64"/>
      <c r="E151" s="44"/>
      <c r="F151" s="67"/>
      <c r="G151" s="55"/>
    </row>
    <row r="152" ht="14.25" spans="1:7">
      <c r="A152" s="64"/>
      <c r="B152" s="64"/>
      <c r="C152" s="65"/>
      <c r="D152" s="64"/>
      <c r="E152" s="44"/>
      <c r="F152" s="67"/>
      <c r="G152" s="55"/>
    </row>
    <row r="153" ht="14.25" spans="1:7">
      <c r="A153" s="64"/>
      <c r="B153" s="64"/>
      <c r="C153" s="65"/>
      <c r="D153" s="64"/>
      <c r="E153" s="44"/>
      <c r="F153" s="67"/>
      <c r="G153" s="55"/>
    </row>
    <row r="154" ht="14.25" spans="1:7">
      <c r="A154" s="64"/>
      <c r="B154" s="64"/>
      <c r="C154" s="65"/>
      <c r="D154" s="64"/>
      <c r="E154" s="44"/>
      <c r="F154" s="67"/>
      <c r="G154" s="55"/>
    </row>
    <row r="155" ht="14.25" spans="1:7">
      <c r="A155" s="64"/>
      <c r="B155" s="64"/>
      <c r="C155" s="65"/>
      <c r="D155" s="64"/>
      <c r="E155" s="44"/>
      <c r="F155" s="67"/>
      <c r="G155" s="55"/>
    </row>
    <row r="156" ht="14.25" spans="1:7">
      <c r="A156" s="64"/>
      <c r="B156" s="64"/>
      <c r="C156" s="65"/>
      <c r="D156" s="64"/>
      <c r="E156" s="44"/>
      <c r="F156" s="67"/>
      <c r="G156" s="55"/>
    </row>
    <row r="157" ht="14.25" spans="1:7">
      <c r="A157" s="64"/>
      <c r="B157" s="64"/>
      <c r="C157" s="65"/>
      <c r="D157" s="64"/>
      <c r="E157" s="44"/>
      <c r="F157" s="67"/>
      <c r="G157" s="55"/>
    </row>
    <row r="158" ht="14.25" spans="1:7">
      <c r="A158" s="64"/>
      <c r="B158" s="64"/>
      <c r="C158" s="65"/>
      <c r="D158" s="64"/>
      <c r="E158" s="44"/>
      <c r="F158" s="67"/>
      <c r="G158" s="55"/>
    </row>
    <row r="159" ht="14.25" spans="1:7">
      <c r="A159" s="64"/>
      <c r="B159" s="64"/>
      <c r="C159" s="65"/>
      <c r="D159" s="64"/>
      <c r="E159" s="44"/>
      <c r="F159" s="67"/>
      <c r="G159" s="55"/>
    </row>
    <row r="160" ht="14.25" spans="1:7">
      <c r="A160" s="64"/>
      <c r="B160" s="64"/>
      <c r="C160" s="65"/>
      <c r="D160" s="64"/>
      <c r="E160" s="44"/>
      <c r="F160" s="67"/>
      <c r="G160" s="55"/>
    </row>
    <row r="161" ht="14.25" spans="1:7">
      <c r="A161" s="64"/>
      <c r="B161" s="64"/>
      <c r="C161" s="65"/>
      <c r="D161" s="64"/>
      <c r="E161" s="44"/>
      <c r="F161" s="67"/>
      <c r="G161" s="55"/>
    </row>
    <row r="162" ht="14.25" spans="1:7">
      <c r="A162" s="64"/>
      <c r="B162" s="64"/>
      <c r="C162" s="65"/>
      <c r="D162" s="64"/>
      <c r="E162" s="44"/>
      <c r="F162" s="67"/>
      <c r="G162" s="55"/>
    </row>
    <row r="163" ht="14.25" spans="1:7">
      <c r="A163" s="64"/>
      <c r="B163" s="64"/>
      <c r="C163" s="65"/>
      <c r="D163" s="64"/>
      <c r="E163" s="44"/>
      <c r="F163" s="67"/>
      <c r="G163" s="55"/>
    </row>
    <row r="164" ht="14.25" spans="1:7">
      <c r="A164" s="64"/>
      <c r="B164" s="64"/>
      <c r="C164" s="65"/>
      <c r="D164" s="64"/>
      <c r="E164" s="44"/>
      <c r="F164" s="67"/>
      <c r="G164" s="55"/>
    </row>
    <row r="165" ht="14.25" spans="1:7">
      <c r="A165" s="64"/>
      <c r="B165" s="64"/>
      <c r="C165" s="65"/>
      <c r="D165" s="64"/>
      <c r="E165" s="44"/>
      <c r="F165" s="67"/>
      <c r="G165" s="55"/>
    </row>
    <row r="166" ht="14.25" spans="1:7">
      <c r="A166" s="64"/>
      <c r="B166" s="64"/>
      <c r="C166" s="65"/>
      <c r="D166" s="64"/>
      <c r="E166" s="44"/>
      <c r="F166" s="67"/>
      <c r="G166" s="55"/>
    </row>
    <row r="167" ht="14.25" spans="1:7">
      <c r="A167" s="64"/>
      <c r="B167" s="64"/>
      <c r="C167" s="65"/>
      <c r="D167" s="64"/>
      <c r="E167" s="44"/>
      <c r="F167" s="67"/>
      <c r="G167" s="55"/>
    </row>
    <row r="168" ht="14.25" spans="1:7">
      <c r="A168" s="64"/>
      <c r="B168" s="64"/>
      <c r="C168" s="65"/>
      <c r="D168" s="64"/>
      <c r="E168" s="44"/>
      <c r="F168" s="67"/>
      <c r="G168" s="55"/>
    </row>
    <row r="169" ht="14.25" spans="1:7">
      <c r="A169" s="64"/>
      <c r="B169" s="64"/>
      <c r="C169" s="65"/>
      <c r="D169" s="64"/>
      <c r="E169" s="44"/>
      <c r="F169" s="67"/>
      <c r="G169" s="55"/>
    </row>
    <row r="170" ht="14.25" spans="1:7">
      <c r="A170" s="64"/>
      <c r="B170" s="64"/>
      <c r="C170" s="65"/>
      <c r="D170" s="64"/>
      <c r="E170" s="44"/>
      <c r="F170" s="67"/>
      <c r="G170" s="55"/>
    </row>
    <row r="171" ht="14.25" spans="1:7">
      <c r="A171" s="64"/>
      <c r="B171" s="64"/>
      <c r="C171" s="65"/>
      <c r="D171" s="64"/>
      <c r="E171" s="44"/>
      <c r="F171" s="67"/>
      <c r="G171" s="55"/>
    </row>
    <row r="172" ht="14.25" spans="1:7">
      <c r="A172" s="64"/>
      <c r="B172" s="64"/>
      <c r="C172" s="65"/>
      <c r="D172" s="64"/>
      <c r="E172" s="44"/>
      <c r="F172" s="67"/>
      <c r="G172" s="55"/>
    </row>
    <row r="173" ht="14.25" spans="1:7">
      <c r="A173" s="64"/>
      <c r="B173" s="64"/>
      <c r="C173" s="65"/>
      <c r="D173" s="64"/>
      <c r="E173" s="44"/>
      <c r="F173" s="67"/>
      <c r="G173" s="55"/>
    </row>
    <row r="174" ht="14.25" spans="1:7">
      <c r="A174" s="64"/>
      <c r="B174" s="64"/>
      <c r="C174" s="65"/>
      <c r="D174" s="64"/>
      <c r="E174" s="44"/>
      <c r="F174" s="67"/>
      <c r="G174" s="55"/>
    </row>
    <row r="175" ht="14.25" spans="1:7">
      <c r="A175" s="64"/>
      <c r="B175" s="64"/>
      <c r="C175" s="65"/>
      <c r="D175" s="64"/>
      <c r="E175" s="44"/>
      <c r="F175" s="67"/>
      <c r="G175" s="55"/>
    </row>
    <row r="176" ht="14.25" spans="1:7">
      <c r="A176" s="64"/>
      <c r="B176" s="64"/>
      <c r="C176" s="65"/>
      <c r="D176" s="64"/>
      <c r="E176" s="44"/>
      <c r="F176" s="67"/>
      <c r="G176" s="55"/>
    </row>
    <row r="177" ht="14.25" spans="1:7">
      <c r="A177" s="64"/>
      <c r="B177" s="64"/>
      <c r="C177" s="65"/>
      <c r="D177" s="64"/>
      <c r="E177" s="44"/>
      <c r="F177" s="67"/>
      <c r="G177" s="55"/>
    </row>
    <row r="178" ht="14.25" spans="1:7">
      <c r="A178" s="64"/>
      <c r="B178" s="64"/>
      <c r="C178" s="65"/>
      <c r="D178" s="64"/>
      <c r="E178" s="44"/>
      <c r="F178" s="67"/>
      <c r="G178" s="55"/>
    </row>
    <row r="179" ht="14.25" spans="1:7">
      <c r="A179" s="64"/>
      <c r="B179" s="64"/>
      <c r="C179" s="65"/>
      <c r="D179" s="64"/>
      <c r="E179" s="44"/>
      <c r="F179" s="67"/>
      <c r="G179" s="55"/>
    </row>
    <row r="180" ht="14.25" spans="1:7">
      <c r="A180" s="64"/>
      <c r="B180" s="64"/>
      <c r="C180" s="65"/>
      <c r="D180" s="64"/>
      <c r="E180" s="44"/>
      <c r="F180" s="67"/>
      <c r="G180" s="55"/>
    </row>
    <row r="181" ht="14.25" spans="1:7">
      <c r="A181" s="64"/>
      <c r="B181" s="64"/>
      <c r="C181" s="65"/>
      <c r="D181" s="64"/>
      <c r="E181" s="44"/>
      <c r="F181" s="67"/>
      <c r="G181" s="55"/>
    </row>
    <row r="182" ht="14.25" spans="1:7">
      <c r="A182" s="64"/>
      <c r="B182" s="64"/>
      <c r="C182" s="65"/>
      <c r="D182" s="64"/>
      <c r="E182" s="44"/>
      <c r="F182" s="67"/>
      <c r="G182" s="55"/>
    </row>
    <row r="183" ht="14.25" spans="1:7">
      <c r="A183" s="64"/>
      <c r="B183" s="64"/>
      <c r="C183" s="65"/>
      <c r="D183" s="64"/>
      <c r="E183" s="44"/>
      <c r="F183" s="67"/>
      <c r="G183" s="55"/>
    </row>
    <row r="184" ht="14.25" spans="1:7">
      <c r="A184" s="64"/>
      <c r="B184" s="64"/>
      <c r="C184" s="65"/>
      <c r="D184" s="64"/>
      <c r="E184" s="44"/>
      <c r="F184" s="67"/>
      <c r="G184" s="55"/>
    </row>
    <row r="185" ht="14.25" spans="1:7">
      <c r="A185" s="64"/>
      <c r="B185" s="64"/>
      <c r="C185" s="65"/>
      <c r="D185" s="64"/>
      <c r="E185" s="44"/>
      <c r="F185" s="67"/>
      <c r="G185" s="55"/>
    </row>
    <row r="186" ht="14.25" spans="1:7">
      <c r="A186" s="64"/>
      <c r="B186" s="64"/>
      <c r="C186" s="65"/>
      <c r="D186" s="64"/>
      <c r="E186" s="44"/>
      <c r="F186" s="67"/>
      <c r="G186" s="55"/>
    </row>
    <row r="187" ht="14.25" spans="1:7">
      <c r="A187" s="64"/>
      <c r="B187" s="64"/>
      <c r="C187" s="65"/>
      <c r="D187" s="64"/>
      <c r="E187" s="44"/>
      <c r="F187" s="67"/>
      <c r="G187" s="55"/>
    </row>
    <row r="188" ht="14.25" spans="1:7">
      <c r="A188" s="64"/>
      <c r="B188" s="64"/>
      <c r="C188" s="65"/>
      <c r="D188" s="64"/>
      <c r="E188" s="44"/>
      <c r="F188" s="67"/>
      <c r="G188" s="55"/>
    </row>
    <row r="189" ht="14.25" spans="1:7">
      <c r="A189" s="64"/>
      <c r="B189" s="64"/>
      <c r="C189" s="65"/>
      <c r="D189" s="64"/>
      <c r="E189" s="44"/>
      <c r="F189" s="67"/>
      <c r="G189" s="55"/>
    </row>
    <row r="190" ht="14.25" spans="1:7">
      <c r="A190" s="64"/>
      <c r="B190" s="64"/>
      <c r="C190" s="65"/>
      <c r="D190" s="64"/>
      <c r="E190" s="44"/>
      <c r="F190" s="67"/>
      <c r="G190" s="55"/>
    </row>
    <row r="191" ht="14.25" spans="1:7">
      <c r="A191" s="64"/>
      <c r="B191" s="64"/>
      <c r="C191" s="65"/>
      <c r="D191" s="64"/>
      <c r="E191" s="44"/>
      <c r="F191" s="67"/>
      <c r="G191" s="55"/>
    </row>
    <row r="192" ht="14.25" spans="1:7">
      <c r="A192" s="64"/>
      <c r="B192" s="64"/>
      <c r="C192" s="65"/>
      <c r="D192" s="64"/>
      <c r="E192" s="44"/>
      <c r="F192" s="67"/>
      <c r="G192" s="55"/>
    </row>
    <row r="193" ht="14.25" spans="1:7">
      <c r="A193" s="64"/>
      <c r="B193" s="64"/>
      <c r="C193" s="65"/>
      <c r="D193" s="64"/>
      <c r="E193" s="44"/>
      <c r="F193" s="67"/>
      <c r="G193" s="55"/>
    </row>
    <row r="194" ht="14.25" spans="1:7">
      <c r="A194" s="64"/>
      <c r="B194" s="64"/>
      <c r="C194" s="65"/>
      <c r="D194" s="64"/>
      <c r="E194" s="44"/>
      <c r="F194" s="67"/>
      <c r="G194" s="55"/>
    </row>
    <row r="195" ht="14.25" spans="1:7">
      <c r="A195" s="64"/>
      <c r="B195" s="64"/>
      <c r="C195" s="65"/>
      <c r="D195" s="64"/>
      <c r="E195" s="44"/>
      <c r="F195" s="67"/>
      <c r="G195" s="55"/>
    </row>
    <row r="196" ht="14.25" spans="1:7">
      <c r="A196" s="64"/>
      <c r="B196" s="64"/>
      <c r="C196" s="65"/>
      <c r="D196" s="64"/>
      <c r="E196" s="44"/>
      <c r="F196" s="67"/>
      <c r="G196" s="55"/>
    </row>
    <row r="197" ht="14.25" spans="1:7">
      <c r="A197" s="64"/>
      <c r="B197" s="64"/>
      <c r="C197" s="65"/>
      <c r="D197" s="64"/>
      <c r="E197" s="44"/>
      <c r="F197" s="67"/>
      <c r="G197" s="55"/>
    </row>
    <row r="198" ht="14.25" spans="1:7">
      <c r="A198" s="64"/>
      <c r="B198" s="64"/>
      <c r="C198" s="65"/>
      <c r="D198" s="64"/>
      <c r="E198" s="44"/>
      <c r="F198" s="67"/>
      <c r="G198" s="55"/>
    </row>
    <row r="199" ht="14.25" spans="1:7">
      <c r="A199" s="64"/>
      <c r="B199" s="64"/>
      <c r="C199" s="65"/>
      <c r="D199" s="64"/>
      <c r="E199" s="44"/>
      <c r="F199" s="67"/>
      <c r="G199" s="55"/>
    </row>
    <row r="200" ht="14.25" spans="1:7">
      <c r="A200" s="64"/>
      <c r="B200" s="64"/>
      <c r="C200" s="65"/>
      <c r="D200" s="64"/>
      <c r="E200" s="44"/>
      <c r="F200" s="67"/>
      <c r="G200" s="55"/>
    </row>
    <row r="201" ht="14.25" spans="1:7">
      <c r="A201" s="64"/>
      <c r="B201" s="64"/>
      <c r="C201" s="65"/>
      <c r="D201" s="64"/>
      <c r="E201" s="44"/>
      <c r="F201" s="67"/>
      <c r="G201" s="55"/>
    </row>
    <row r="202" ht="14.25" spans="1:7">
      <c r="A202" s="64"/>
      <c r="B202" s="64"/>
      <c r="C202" s="65"/>
      <c r="D202" s="64"/>
      <c r="E202" s="44"/>
      <c r="F202" s="67"/>
      <c r="G202" s="55"/>
    </row>
    <row r="203" ht="14.25" spans="1:7">
      <c r="A203" s="64"/>
      <c r="B203" s="64"/>
      <c r="C203" s="65"/>
      <c r="D203" s="64"/>
      <c r="E203" s="44"/>
      <c r="F203" s="67"/>
      <c r="G203" s="55"/>
    </row>
    <row r="204" ht="14.25" spans="1:7">
      <c r="A204" s="64"/>
      <c r="B204" s="64"/>
      <c r="C204" s="65"/>
      <c r="D204" s="64"/>
      <c r="E204" s="44"/>
      <c r="F204" s="67"/>
      <c r="G204" s="55"/>
    </row>
    <row r="205" ht="14.25" spans="1:7">
      <c r="A205" s="64"/>
      <c r="B205" s="64"/>
      <c r="C205" s="65"/>
      <c r="D205" s="64"/>
      <c r="E205" s="44"/>
      <c r="F205" s="67"/>
      <c r="G205" s="55"/>
    </row>
    <row r="206" ht="14.25" spans="1:7">
      <c r="A206" s="64"/>
      <c r="B206" s="64"/>
      <c r="C206" s="65"/>
      <c r="D206" s="64"/>
      <c r="E206" s="44"/>
      <c r="F206" s="67"/>
      <c r="G206" s="55"/>
    </row>
    <row r="207" ht="14.25" spans="1:7">
      <c r="A207" s="64"/>
      <c r="B207" s="64"/>
      <c r="C207" s="65"/>
      <c r="D207" s="64"/>
      <c r="E207" s="44"/>
      <c r="F207" s="67"/>
      <c r="G207" s="55"/>
    </row>
    <row r="208" ht="14.25" spans="1:7">
      <c r="A208" s="64"/>
      <c r="B208" s="64"/>
      <c r="C208" s="65"/>
      <c r="D208" s="64"/>
      <c r="E208" s="44"/>
      <c r="F208" s="67"/>
      <c r="G208" s="55"/>
    </row>
    <row r="209" ht="14.25" spans="1:7">
      <c r="A209" s="64"/>
      <c r="B209" s="64"/>
      <c r="C209" s="65"/>
      <c r="D209" s="64"/>
      <c r="E209" s="44"/>
      <c r="F209" s="67"/>
      <c r="G209" s="55"/>
    </row>
    <row r="210" ht="14.25" spans="1:7">
      <c r="A210" s="64"/>
      <c r="B210" s="64"/>
      <c r="C210" s="65"/>
      <c r="D210" s="64"/>
      <c r="E210" s="44"/>
      <c r="F210" s="67"/>
      <c r="G210" s="55"/>
    </row>
    <row r="211" ht="14.25" spans="1:7">
      <c r="A211" s="64"/>
      <c r="B211" s="64"/>
      <c r="C211" s="65"/>
      <c r="D211" s="64"/>
      <c r="E211" s="44"/>
      <c r="F211" s="67"/>
      <c r="G211" s="55"/>
    </row>
    <row r="212" ht="14.25" spans="1:7">
      <c r="A212" s="64"/>
      <c r="B212" s="64"/>
      <c r="C212" s="65"/>
      <c r="D212" s="64"/>
      <c r="E212" s="44"/>
      <c r="F212" s="67"/>
      <c r="G212" s="55"/>
    </row>
    <row r="213" ht="14.25" spans="1:7">
      <c r="A213" s="64"/>
      <c r="B213" s="64"/>
      <c r="C213" s="65"/>
      <c r="D213" s="64"/>
      <c r="E213" s="44"/>
      <c r="F213" s="67"/>
      <c r="G213" s="55"/>
    </row>
  </sheetData>
  <autoFilter ref="A3:F133">
    <extLst/>
  </autoFilter>
  <sortState ref="A4:S33">
    <sortCondition ref="C4:C33"/>
  </sortState>
  <mergeCells count="1">
    <mergeCell ref="A1:F1"/>
  </mergeCells>
  <pageMargins left="0.708661417322835" right="0.708661417322835" top="0.748031496062992" bottom="0.748031496062992" header="0.31496062992126" footer="0.31496062992126"/>
  <pageSetup paperSize="9" scale="60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S256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13.5"/>
  <cols>
    <col min="1" max="1" width="5.81666666666667" customWidth="true"/>
    <col min="2" max="2" width="13.5416666666667" customWidth="true"/>
    <col min="3" max="3" width="35.5416666666667" customWidth="true"/>
    <col min="4" max="4" width="28.45" customWidth="true"/>
    <col min="5" max="5" width="13.1833333333333" customWidth="true"/>
    <col min="6" max="6" width="9.54166666666667" customWidth="true"/>
    <col min="7" max="7" width="11.45" customWidth="true"/>
    <col min="8" max="8" width="9.54166666666667" customWidth="true"/>
    <col min="9" max="9" width="13.5416666666667" customWidth="true"/>
    <col min="10" max="10" width="15.5416666666667" customWidth="true"/>
    <col min="11" max="19" width="9.54166666666667" customWidth="true"/>
  </cols>
  <sheetData>
    <row r="1" ht="19.5" spans="1:19">
      <c r="A1" s="1" t="s">
        <v>334</v>
      </c>
      <c r="B1" s="1"/>
      <c r="C1" s="1"/>
      <c r="D1" s="1"/>
      <c r="E1" s="1"/>
      <c r="F1" s="1"/>
      <c r="G1" s="1"/>
      <c r="H1" s="1"/>
      <c r="I1" s="1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ht="14.25" spans="1:19">
      <c r="A2" s="2"/>
      <c r="B2" s="2"/>
      <c r="C2" s="2"/>
      <c r="D2" s="3"/>
      <c r="E2" s="6"/>
      <c r="F2" s="2"/>
      <c r="G2" s="7"/>
      <c r="H2" s="8"/>
      <c r="I2" s="16" t="s">
        <v>1</v>
      </c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5.5" spans="1:19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  <c r="F3" s="10" t="s">
        <v>7</v>
      </c>
      <c r="G3" s="9" t="s">
        <v>8</v>
      </c>
      <c r="H3" s="11" t="s">
        <v>9</v>
      </c>
      <c r="I3" s="17" t="s">
        <v>10</v>
      </c>
      <c r="J3" s="18" t="s">
        <v>335</v>
      </c>
      <c r="K3" s="15"/>
      <c r="L3" s="15"/>
      <c r="M3" s="15"/>
      <c r="N3" s="15"/>
      <c r="O3" s="15"/>
      <c r="P3" s="15"/>
      <c r="Q3" s="15"/>
      <c r="R3" s="15"/>
      <c r="S3" s="15"/>
    </row>
    <row r="4" spans="1:19">
      <c r="A4" s="25">
        <v>1</v>
      </c>
      <c r="B4" s="25" t="s">
        <v>28</v>
      </c>
      <c r="C4" s="25" t="s">
        <v>66</v>
      </c>
      <c r="D4" s="25" t="s">
        <v>58</v>
      </c>
      <c r="E4" s="27">
        <f>84500/30*9</f>
        <v>25350</v>
      </c>
      <c r="F4" s="28">
        <v>2</v>
      </c>
      <c r="G4" s="27">
        <f t="shared" ref="G4:G67" si="0">E4*F4</f>
        <v>50700</v>
      </c>
      <c r="H4" s="29">
        <v>0.5</v>
      </c>
      <c r="I4" s="27">
        <f t="shared" ref="I4:I67" si="1">ROUNDDOWN(G4*H4,-2)</f>
        <v>25300</v>
      </c>
      <c r="J4" s="33"/>
      <c r="K4" s="34"/>
      <c r="L4" s="34"/>
      <c r="M4" s="34"/>
      <c r="N4" s="34"/>
      <c r="O4" s="34"/>
      <c r="P4" s="34"/>
      <c r="Q4" s="34"/>
      <c r="R4" s="34"/>
      <c r="S4" s="34"/>
    </row>
    <row r="5" spans="1:19">
      <c r="A5" s="25">
        <v>2</v>
      </c>
      <c r="B5" s="25" t="s">
        <v>28</v>
      </c>
      <c r="C5" s="25" t="s">
        <v>233</v>
      </c>
      <c r="D5" s="25" t="s">
        <v>15</v>
      </c>
      <c r="E5" s="27">
        <f>37600/4</f>
        <v>9400</v>
      </c>
      <c r="F5" s="28">
        <v>2</v>
      </c>
      <c r="G5" s="27">
        <f t="shared" si="0"/>
        <v>18800</v>
      </c>
      <c r="H5" s="29">
        <v>0.5</v>
      </c>
      <c r="I5" s="27">
        <f t="shared" si="1"/>
        <v>9400</v>
      </c>
      <c r="J5" s="33"/>
      <c r="K5" s="34"/>
      <c r="L5" s="34"/>
      <c r="M5" s="34"/>
      <c r="N5" s="34"/>
      <c r="O5" s="34"/>
      <c r="P5" s="34"/>
      <c r="Q5" s="34"/>
      <c r="R5" s="34"/>
      <c r="S5" s="34"/>
    </row>
    <row r="6" spans="1:19">
      <c r="A6" s="25">
        <v>3</v>
      </c>
      <c r="B6" s="25" t="s">
        <v>16</v>
      </c>
      <c r="C6" s="25" t="s">
        <v>17</v>
      </c>
      <c r="D6" s="25" t="s">
        <v>15</v>
      </c>
      <c r="E6" s="27">
        <f>75200/8</f>
        <v>9400</v>
      </c>
      <c r="F6" s="28">
        <v>2</v>
      </c>
      <c r="G6" s="27">
        <f t="shared" si="0"/>
        <v>18800</v>
      </c>
      <c r="H6" s="29">
        <v>0.5</v>
      </c>
      <c r="I6" s="27">
        <f t="shared" si="1"/>
        <v>9400</v>
      </c>
      <c r="J6" s="33"/>
      <c r="K6" s="34"/>
      <c r="L6" s="34"/>
      <c r="M6" s="34"/>
      <c r="N6" s="34"/>
      <c r="O6" s="34"/>
      <c r="P6" s="34"/>
      <c r="Q6" s="34"/>
      <c r="R6" s="34"/>
      <c r="S6" s="34"/>
    </row>
    <row r="7" spans="1:19">
      <c r="A7" s="25">
        <v>4</v>
      </c>
      <c r="B7" s="25" t="s">
        <v>28</v>
      </c>
      <c r="C7" s="25" t="s">
        <v>90</v>
      </c>
      <c r="D7" s="25" t="s">
        <v>15</v>
      </c>
      <c r="E7" s="27">
        <f>37600/4</f>
        <v>9400</v>
      </c>
      <c r="F7" s="28">
        <v>2</v>
      </c>
      <c r="G7" s="27">
        <f t="shared" si="0"/>
        <v>18800</v>
      </c>
      <c r="H7" s="29">
        <v>0.5</v>
      </c>
      <c r="I7" s="27">
        <f t="shared" si="1"/>
        <v>9400</v>
      </c>
      <c r="J7" s="33"/>
      <c r="K7" s="34"/>
      <c r="L7" s="34"/>
      <c r="M7" s="34"/>
      <c r="N7" s="34"/>
      <c r="O7" s="34"/>
      <c r="P7" s="34"/>
      <c r="Q7" s="34"/>
      <c r="R7" s="34"/>
      <c r="S7" s="34"/>
    </row>
    <row r="8" spans="1:19">
      <c r="A8" s="25">
        <v>5</v>
      </c>
      <c r="B8" s="25" t="s">
        <v>28</v>
      </c>
      <c r="C8" s="25" t="s">
        <v>159</v>
      </c>
      <c r="D8" s="25" t="s">
        <v>15</v>
      </c>
      <c r="E8" s="27">
        <f>36848/4</f>
        <v>9212</v>
      </c>
      <c r="F8" s="28">
        <v>2</v>
      </c>
      <c r="G8" s="27">
        <f t="shared" si="0"/>
        <v>18424</v>
      </c>
      <c r="H8" s="29">
        <v>0.5</v>
      </c>
      <c r="I8" s="27">
        <f t="shared" si="1"/>
        <v>9200</v>
      </c>
      <c r="J8" s="33"/>
      <c r="K8" s="34"/>
      <c r="L8" s="34"/>
      <c r="M8" s="34"/>
      <c r="N8" s="34"/>
      <c r="O8" s="34"/>
      <c r="P8" s="34"/>
      <c r="Q8" s="34"/>
      <c r="R8" s="34"/>
      <c r="S8" s="34"/>
    </row>
    <row r="9" spans="1:19">
      <c r="A9" s="25">
        <v>6</v>
      </c>
      <c r="B9" s="25" t="s">
        <v>16</v>
      </c>
      <c r="C9" s="25" t="s">
        <v>336</v>
      </c>
      <c r="D9" s="25" t="s">
        <v>30</v>
      </c>
      <c r="E9" s="27">
        <f>16800</f>
        <v>16800</v>
      </c>
      <c r="F9" s="28">
        <v>1</v>
      </c>
      <c r="G9" s="27">
        <f t="shared" si="0"/>
        <v>16800</v>
      </c>
      <c r="H9" s="29">
        <v>0.5</v>
      </c>
      <c r="I9" s="27">
        <f t="shared" si="1"/>
        <v>8400</v>
      </c>
      <c r="J9" s="33"/>
      <c r="K9" s="34"/>
      <c r="L9" s="34"/>
      <c r="M9" s="34"/>
      <c r="N9" s="34"/>
      <c r="O9" s="34"/>
      <c r="P9" s="34"/>
      <c r="Q9" s="34"/>
      <c r="R9" s="34"/>
      <c r="S9" s="34"/>
    </row>
    <row r="10" spans="1:19">
      <c r="A10" s="25">
        <v>7</v>
      </c>
      <c r="B10" s="25" t="s">
        <v>25</v>
      </c>
      <c r="C10" s="25" t="s">
        <v>139</v>
      </c>
      <c r="D10" s="25" t="s">
        <v>15</v>
      </c>
      <c r="E10" s="27">
        <f>41600/4</f>
        <v>10400</v>
      </c>
      <c r="F10" s="28">
        <v>2</v>
      </c>
      <c r="G10" s="27">
        <f t="shared" si="0"/>
        <v>20800</v>
      </c>
      <c r="H10" s="29">
        <v>0.5</v>
      </c>
      <c r="I10" s="27">
        <f t="shared" si="1"/>
        <v>10400</v>
      </c>
      <c r="J10" s="33"/>
      <c r="K10" s="34"/>
      <c r="L10" s="34"/>
      <c r="M10" s="34"/>
      <c r="N10" s="34"/>
      <c r="O10" s="34"/>
      <c r="P10" s="34"/>
      <c r="Q10" s="34"/>
      <c r="R10" s="34"/>
      <c r="S10" s="34"/>
    </row>
    <row r="11" spans="1:19">
      <c r="A11" s="25">
        <v>8</v>
      </c>
      <c r="B11" s="25" t="s">
        <v>59</v>
      </c>
      <c r="C11" s="25" t="s">
        <v>337</v>
      </c>
      <c r="D11" s="25" t="s">
        <v>338</v>
      </c>
      <c r="E11" s="27">
        <f>25500/12*9</f>
        <v>19125</v>
      </c>
      <c r="F11" s="28">
        <v>1</v>
      </c>
      <c r="G11" s="27">
        <f t="shared" si="0"/>
        <v>19125</v>
      </c>
      <c r="H11" s="29">
        <v>0.5</v>
      </c>
      <c r="I11" s="27">
        <f t="shared" si="1"/>
        <v>9500</v>
      </c>
      <c r="J11" s="33"/>
      <c r="K11" s="34"/>
      <c r="L11" s="34"/>
      <c r="M11" s="34"/>
      <c r="N11" s="34"/>
      <c r="O11" s="34"/>
      <c r="P11" s="34"/>
      <c r="Q11" s="34"/>
      <c r="R11" s="34"/>
      <c r="S11" s="34"/>
    </row>
    <row r="12" spans="1:19">
      <c r="A12" s="25">
        <v>9</v>
      </c>
      <c r="B12" s="25" t="s">
        <v>13</v>
      </c>
      <c r="C12" s="25" t="s">
        <v>81</v>
      </c>
      <c r="D12" s="25" t="s">
        <v>58</v>
      </c>
      <c r="E12" s="27">
        <f>25830/18*9</f>
        <v>12915</v>
      </c>
      <c r="F12" s="28">
        <v>2</v>
      </c>
      <c r="G12" s="27">
        <f t="shared" si="0"/>
        <v>25830</v>
      </c>
      <c r="H12" s="29">
        <v>0.5</v>
      </c>
      <c r="I12" s="27">
        <f t="shared" si="1"/>
        <v>12900</v>
      </c>
      <c r="J12" s="33"/>
      <c r="K12" s="34"/>
      <c r="L12" s="34"/>
      <c r="M12" s="34"/>
      <c r="N12" s="34"/>
      <c r="O12" s="34"/>
      <c r="P12" s="34"/>
      <c r="Q12" s="34"/>
      <c r="R12" s="34"/>
      <c r="S12" s="34"/>
    </row>
    <row r="13" spans="1:19">
      <c r="A13" s="25">
        <v>10</v>
      </c>
      <c r="B13" s="25" t="s">
        <v>13</v>
      </c>
      <c r="C13" s="25" t="s">
        <v>138</v>
      </c>
      <c r="D13" s="25" t="s">
        <v>20</v>
      </c>
      <c r="E13" s="27">
        <f>12000+(12000*6%)</f>
        <v>12720</v>
      </c>
      <c r="F13" s="28">
        <v>1</v>
      </c>
      <c r="G13" s="27">
        <f t="shared" si="0"/>
        <v>12720</v>
      </c>
      <c r="H13" s="29">
        <v>0.5</v>
      </c>
      <c r="I13" s="27">
        <f t="shared" si="1"/>
        <v>6300</v>
      </c>
      <c r="J13" s="33"/>
      <c r="K13" s="34"/>
      <c r="L13" s="34"/>
      <c r="M13" s="34"/>
      <c r="N13" s="34"/>
      <c r="O13" s="34"/>
      <c r="P13" s="34"/>
      <c r="Q13" s="34"/>
      <c r="R13" s="34"/>
      <c r="S13" s="34"/>
    </row>
    <row r="14" spans="1:19">
      <c r="A14" s="25">
        <v>11</v>
      </c>
      <c r="B14" s="25" t="s">
        <v>112</v>
      </c>
      <c r="C14" s="25" t="s">
        <v>176</v>
      </c>
      <c r="D14" s="25" t="s">
        <v>20</v>
      </c>
      <c r="E14" s="27">
        <f>12000+(12000*6%)</f>
        <v>12720</v>
      </c>
      <c r="F14" s="28">
        <v>1</v>
      </c>
      <c r="G14" s="27">
        <f t="shared" si="0"/>
        <v>12720</v>
      </c>
      <c r="H14" s="29">
        <v>0.5</v>
      </c>
      <c r="I14" s="27">
        <f t="shared" si="1"/>
        <v>6300</v>
      </c>
      <c r="J14" s="33"/>
      <c r="K14" s="34"/>
      <c r="L14" s="34"/>
      <c r="M14" s="34"/>
      <c r="N14" s="34"/>
      <c r="O14" s="34"/>
      <c r="P14" s="34"/>
      <c r="Q14" s="34"/>
      <c r="R14" s="34"/>
      <c r="S14" s="34"/>
    </row>
    <row r="15" spans="1:19">
      <c r="A15" s="25">
        <v>12</v>
      </c>
      <c r="B15" s="25" t="s">
        <v>28</v>
      </c>
      <c r="C15" s="25" t="s">
        <v>339</v>
      </c>
      <c r="D15" s="25" t="s">
        <v>15</v>
      </c>
      <c r="E15" s="27">
        <f>188000/20</f>
        <v>9400</v>
      </c>
      <c r="F15" s="28">
        <v>2</v>
      </c>
      <c r="G15" s="27">
        <f t="shared" si="0"/>
        <v>18800</v>
      </c>
      <c r="H15" s="29">
        <v>0.5</v>
      </c>
      <c r="I15" s="27">
        <f t="shared" si="1"/>
        <v>9400</v>
      </c>
      <c r="J15" s="33"/>
      <c r="K15" s="34"/>
      <c r="L15" s="34"/>
      <c r="M15" s="34"/>
      <c r="N15" s="34"/>
      <c r="O15" s="34"/>
      <c r="P15" s="34"/>
      <c r="Q15" s="34"/>
      <c r="R15" s="34"/>
      <c r="S15" s="34"/>
    </row>
    <row r="16" spans="1:19">
      <c r="A16" s="25">
        <v>13</v>
      </c>
      <c r="B16" s="25" t="s">
        <v>13</v>
      </c>
      <c r="C16" s="25" t="s">
        <v>340</v>
      </c>
      <c r="D16" s="25" t="s">
        <v>58</v>
      </c>
      <c r="E16" s="27">
        <f>31500</f>
        <v>31500</v>
      </c>
      <c r="F16" s="28">
        <v>1</v>
      </c>
      <c r="G16" s="27">
        <f t="shared" si="0"/>
        <v>31500</v>
      </c>
      <c r="H16" s="29">
        <v>0.5</v>
      </c>
      <c r="I16" s="27">
        <f t="shared" si="1"/>
        <v>15700</v>
      </c>
      <c r="J16" s="33"/>
      <c r="K16" s="34"/>
      <c r="L16" s="34"/>
      <c r="M16" s="34"/>
      <c r="N16" s="34"/>
      <c r="O16" s="34"/>
      <c r="P16" s="34"/>
      <c r="Q16" s="34"/>
      <c r="R16" s="34"/>
      <c r="S16" s="34"/>
    </row>
    <row r="17" spans="1:19">
      <c r="A17" s="25">
        <v>14</v>
      </c>
      <c r="B17" s="25" t="s">
        <v>13</v>
      </c>
      <c r="C17" s="25" t="s">
        <v>32</v>
      </c>
      <c r="D17" s="25" t="s">
        <v>20</v>
      </c>
      <c r="E17" s="27">
        <f>12000+(12000*6%)</f>
        <v>12720</v>
      </c>
      <c r="F17" s="28">
        <v>2</v>
      </c>
      <c r="G17" s="27">
        <f t="shared" si="0"/>
        <v>25440</v>
      </c>
      <c r="H17" s="29">
        <v>0.5</v>
      </c>
      <c r="I17" s="27">
        <f t="shared" si="1"/>
        <v>12700</v>
      </c>
      <c r="J17" s="33"/>
      <c r="K17" s="34"/>
      <c r="L17" s="34"/>
      <c r="M17" s="34"/>
      <c r="N17" s="34"/>
      <c r="O17" s="34"/>
      <c r="P17" s="34"/>
      <c r="Q17" s="34"/>
      <c r="R17" s="34"/>
      <c r="S17" s="34"/>
    </row>
    <row r="18" spans="1:19">
      <c r="A18" s="25">
        <v>15</v>
      </c>
      <c r="B18" s="25" t="s">
        <v>13</v>
      </c>
      <c r="C18" s="25" t="s">
        <v>33</v>
      </c>
      <c r="D18" s="25" t="s">
        <v>20</v>
      </c>
      <c r="E18" s="27">
        <f>12000+(12000*6%)</f>
        <v>12720</v>
      </c>
      <c r="F18" s="28">
        <v>1</v>
      </c>
      <c r="G18" s="27">
        <f t="shared" si="0"/>
        <v>12720</v>
      </c>
      <c r="H18" s="29">
        <v>0.5</v>
      </c>
      <c r="I18" s="27">
        <f t="shared" si="1"/>
        <v>6300</v>
      </c>
      <c r="J18" s="33"/>
      <c r="K18" s="34"/>
      <c r="L18" s="34"/>
      <c r="M18" s="34"/>
      <c r="N18" s="34"/>
      <c r="O18" s="34"/>
      <c r="P18" s="34"/>
      <c r="Q18" s="34"/>
      <c r="R18" s="34"/>
      <c r="S18" s="34"/>
    </row>
    <row r="19" spans="1:19">
      <c r="A19" s="25">
        <v>16</v>
      </c>
      <c r="B19" s="25" t="s">
        <v>18</v>
      </c>
      <c r="C19" s="25" t="s">
        <v>341</v>
      </c>
      <c r="D19" s="25" t="s">
        <v>30</v>
      </c>
      <c r="E19" s="27">
        <f>16800</f>
        <v>16800</v>
      </c>
      <c r="F19" s="28">
        <v>1</v>
      </c>
      <c r="G19" s="27">
        <f t="shared" si="0"/>
        <v>16800</v>
      </c>
      <c r="H19" s="29">
        <v>0.5</v>
      </c>
      <c r="I19" s="27">
        <f t="shared" si="1"/>
        <v>8400</v>
      </c>
      <c r="J19" s="33"/>
      <c r="K19" s="34"/>
      <c r="L19" s="34"/>
      <c r="M19" s="34"/>
      <c r="N19" s="34"/>
      <c r="O19" s="34"/>
      <c r="P19" s="34"/>
      <c r="Q19" s="34"/>
      <c r="R19" s="34"/>
      <c r="S19" s="34"/>
    </row>
    <row r="20" spans="1:19">
      <c r="A20" s="25">
        <v>17</v>
      </c>
      <c r="B20" s="25" t="s">
        <v>61</v>
      </c>
      <c r="C20" s="25" t="s">
        <v>342</v>
      </c>
      <c r="D20" s="25" t="s">
        <v>20</v>
      </c>
      <c r="E20" s="27">
        <f>12000+(12000*6%)</f>
        <v>12720</v>
      </c>
      <c r="F20" s="28">
        <v>1</v>
      </c>
      <c r="G20" s="27">
        <f t="shared" si="0"/>
        <v>12720</v>
      </c>
      <c r="H20" s="29">
        <v>0.5</v>
      </c>
      <c r="I20" s="27">
        <f t="shared" si="1"/>
        <v>6300</v>
      </c>
      <c r="J20" s="33"/>
      <c r="K20" s="34"/>
      <c r="L20" s="34"/>
      <c r="M20" s="34"/>
      <c r="N20" s="34"/>
      <c r="O20" s="34"/>
      <c r="P20" s="34"/>
      <c r="Q20" s="34"/>
      <c r="R20" s="34"/>
      <c r="S20" s="34"/>
    </row>
    <row r="21" spans="1:19">
      <c r="A21" s="25">
        <v>18</v>
      </c>
      <c r="B21" s="25" t="s">
        <v>98</v>
      </c>
      <c r="C21" s="25" t="s">
        <v>104</v>
      </c>
      <c r="D21" s="25" t="s">
        <v>20</v>
      </c>
      <c r="E21" s="27">
        <f>12000+(12000*6%)</f>
        <v>12720</v>
      </c>
      <c r="F21" s="28">
        <v>2</v>
      </c>
      <c r="G21" s="27">
        <f t="shared" si="0"/>
        <v>25440</v>
      </c>
      <c r="H21" s="29">
        <v>0.5</v>
      </c>
      <c r="I21" s="27">
        <f t="shared" si="1"/>
        <v>12700</v>
      </c>
      <c r="J21" s="33"/>
      <c r="K21" s="34"/>
      <c r="L21" s="34"/>
      <c r="M21" s="34"/>
      <c r="N21" s="34"/>
      <c r="O21" s="34"/>
      <c r="P21" s="34"/>
      <c r="Q21" s="34"/>
      <c r="R21" s="34"/>
      <c r="S21" s="34"/>
    </row>
    <row r="22" spans="1:19">
      <c r="A22" s="25">
        <v>19</v>
      </c>
      <c r="B22" s="25" t="s">
        <v>16</v>
      </c>
      <c r="C22" s="25" t="s">
        <v>169</v>
      </c>
      <c r="D22" s="25" t="s">
        <v>15</v>
      </c>
      <c r="E22" s="27">
        <f>144000/90*9</f>
        <v>14400</v>
      </c>
      <c r="F22" s="28">
        <v>2</v>
      </c>
      <c r="G22" s="27">
        <f t="shared" si="0"/>
        <v>28800</v>
      </c>
      <c r="H22" s="29">
        <v>0.5</v>
      </c>
      <c r="I22" s="27">
        <f t="shared" si="1"/>
        <v>14400</v>
      </c>
      <c r="J22" s="33"/>
      <c r="K22" s="34"/>
      <c r="L22" s="34"/>
      <c r="M22" s="34"/>
      <c r="N22" s="34"/>
      <c r="O22" s="34"/>
      <c r="P22" s="34"/>
      <c r="Q22" s="34"/>
      <c r="R22" s="34"/>
      <c r="S22" s="34"/>
    </row>
    <row r="23" spans="1:19">
      <c r="A23" s="25">
        <v>20</v>
      </c>
      <c r="B23" s="25" t="s">
        <v>16</v>
      </c>
      <c r="C23" s="25" t="s">
        <v>343</v>
      </c>
      <c r="D23" s="25" t="s">
        <v>15</v>
      </c>
      <c r="E23" s="27">
        <f>144000/90*9</f>
        <v>14400</v>
      </c>
      <c r="F23" s="28">
        <v>2</v>
      </c>
      <c r="G23" s="27">
        <f t="shared" si="0"/>
        <v>28800</v>
      </c>
      <c r="H23" s="29">
        <v>0.5</v>
      </c>
      <c r="I23" s="27">
        <f t="shared" si="1"/>
        <v>14400</v>
      </c>
      <c r="J23" s="33"/>
      <c r="K23" s="34"/>
      <c r="L23" s="34"/>
      <c r="M23" s="34"/>
      <c r="N23" s="34"/>
      <c r="O23" s="34"/>
      <c r="P23" s="34"/>
      <c r="Q23" s="34"/>
      <c r="R23" s="34"/>
      <c r="S23" s="34"/>
    </row>
    <row r="24" spans="1:19">
      <c r="A24" s="25">
        <v>21</v>
      </c>
      <c r="B24" s="25" t="s">
        <v>75</v>
      </c>
      <c r="C24" s="25" t="s">
        <v>145</v>
      </c>
      <c r="D24" s="25" t="s">
        <v>20</v>
      </c>
      <c r="E24" s="27">
        <f>12000+(12000*6%)</f>
        <v>12720</v>
      </c>
      <c r="F24" s="28">
        <v>2</v>
      </c>
      <c r="G24" s="27">
        <f t="shared" si="0"/>
        <v>25440</v>
      </c>
      <c r="H24" s="29">
        <v>0.5</v>
      </c>
      <c r="I24" s="27">
        <f t="shared" si="1"/>
        <v>12700</v>
      </c>
      <c r="J24" s="33"/>
      <c r="K24" s="34"/>
      <c r="L24" s="34"/>
      <c r="M24" s="34"/>
      <c r="N24" s="34"/>
      <c r="O24" s="34"/>
      <c r="P24" s="34"/>
      <c r="Q24" s="34"/>
      <c r="R24" s="34"/>
      <c r="S24" s="34"/>
    </row>
    <row r="25" ht="10" customHeight="true" spans="1:19">
      <c r="A25" s="25">
        <v>22</v>
      </c>
      <c r="B25" s="25" t="s">
        <v>18</v>
      </c>
      <c r="C25" s="25" t="s">
        <v>344</v>
      </c>
      <c r="D25" s="25" t="s">
        <v>131</v>
      </c>
      <c r="E25" s="27">
        <f>39600/18*9</f>
        <v>19800</v>
      </c>
      <c r="F25" s="28">
        <v>2</v>
      </c>
      <c r="G25" s="27">
        <f t="shared" si="0"/>
        <v>39600</v>
      </c>
      <c r="H25" s="29">
        <v>0.5</v>
      </c>
      <c r="I25" s="27">
        <f t="shared" si="1"/>
        <v>19800</v>
      </c>
      <c r="J25" s="33"/>
      <c r="K25" s="34"/>
      <c r="L25" s="34"/>
      <c r="M25" s="34"/>
      <c r="N25" s="34"/>
      <c r="O25" s="34"/>
      <c r="P25" s="34"/>
      <c r="Q25" s="34"/>
      <c r="R25" s="34"/>
      <c r="S25" s="34"/>
    </row>
    <row r="26" spans="1:19">
      <c r="A26" s="25">
        <v>23</v>
      </c>
      <c r="B26" s="25" t="s">
        <v>21</v>
      </c>
      <c r="C26" s="25" t="s">
        <v>345</v>
      </c>
      <c r="D26" s="25" t="s">
        <v>301</v>
      </c>
      <c r="E26" s="27">
        <f>13600/18*9</f>
        <v>6800</v>
      </c>
      <c r="F26" s="28">
        <v>2</v>
      </c>
      <c r="G26" s="27">
        <f t="shared" si="0"/>
        <v>13600</v>
      </c>
      <c r="H26" s="29">
        <v>0.5</v>
      </c>
      <c r="I26" s="27">
        <f t="shared" si="1"/>
        <v>6800</v>
      </c>
      <c r="J26" s="33"/>
      <c r="K26" s="34"/>
      <c r="L26" s="34"/>
      <c r="M26" s="34"/>
      <c r="N26" s="34"/>
      <c r="O26" s="34"/>
      <c r="P26" s="34"/>
      <c r="Q26" s="34"/>
      <c r="R26" s="34"/>
      <c r="S26" s="34"/>
    </row>
    <row r="27" spans="1:19">
      <c r="A27" s="25">
        <v>24</v>
      </c>
      <c r="B27" s="25" t="s">
        <v>18</v>
      </c>
      <c r="C27" s="25" t="s">
        <v>188</v>
      </c>
      <c r="D27" s="25" t="s">
        <v>131</v>
      </c>
      <c r="E27" s="27">
        <f>39600/18*9</f>
        <v>19800</v>
      </c>
      <c r="F27" s="28">
        <v>2</v>
      </c>
      <c r="G27" s="27">
        <f t="shared" si="0"/>
        <v>39600</v>
      </c>
      <c r="H27" s="29">
        <v>0.5</v>
      </c>
      <c r="I27" s="27">
        <f t="shared" si="1"/>
        <v>19800</v>
      </c>
      <c r="J27" s="33"/>
      <c r="K27" s="34"/>
      <c r="L27" s="34"/>
      <c r="M27" s="34"/>
      <c r="N27" s="34"/>
      <c r="O27" s="34"/>
      <c r="P27" s="34"/>
      <c r="Q27" s="34"/>
      <c r="R27" s="34"/>
      <c r="S27" s="34"/>
    </row>
    <row r="28" spans="1:19">
      <c r="A28" s="25">
        <v>25</v>
      </c>
      <c r="B28" s="25" t="s">
        <v>18</v>
      </c>
      <c r="C28" s="25" t="s">
        <v>188</v>
      </c>
      <c r="D28" s="25" t="s">
        <v>338</v>
      </c>
      <c r="E28" s="27">
        <f>33900/12*9</f>
        <v>25425</v>
      </c>
      <c r="F28" s="28">
        <v>1</v>
      </c>
      <c r="G28" s="27">
        <f t="shared" si="0"/>
        <v>25425</v>
      </c>
      <c r="H28" s="29">
        <v>0.5</v>
      </c>
      <c r="I28" s="27">
        <f t="shared" si="1"/>
        <v>12700</v>
      </c>
      <c r="J28" s="33"/>
      <c r="K28" s="34"/>
      <c r="L28" s="34"/>
      <c r="M28" s="34"/>
      <c r="N28" s="34"/>
      <c r="O28" s="34"/>
      <c r="P28" s="34"/>
      <c r="Q28" s="34"/>
      <c r="R28" s="34"/>
      <c r="S28" s="34"/>
    </row>
    <row r="29" spans="1:19">
      <c r="A29" s="25">
        <v>26</v>
      </c>
      <c r="B29" s="25" t="s">
        <v>18</v>
      </c>
      <c r="C29" s="25" t="s">
        <v>166</v>
      </c>
      <c r="D29" s="25" t="s">
        <v>131</v>
      </c>
      <c r="E29" s="27">
        <f>39600/18*9</f>
        <v>19800</v>
      </c>
      <c r="F29" s="28">
        <v>2</v>
      </c>
      <c r="G29" s="27">
        <f t="shared" si="0"/>
        <v>39600</v>
      </c>
      <c r="H29" s="29">
        <v>0.5</v>
      </c>
      <c r="I29" s="27">
        <f t="shared" si="1"/>
        <v>19800</v>
      </c>
      <c r="J29" s="33"/>
      <c r="K29" s="34"/>
      <c r="L29" s="34"/>
      <c r="M29" s="34"/>
      <c r="N29" s="34"/>
      <c r="O29" s="34"/>
      <c r="P29" s="34"/>
      <c r="Q29" s="34"/>
      <c r="R29" s="34"/>
      <c r="S29" s="34"/>
    </row>
    <row r="30" spans="1:19">
      <c r="A30" s="25">
        <v>27</v>
      </c>
      <c r="B30" s="25" t="s">
        <v>18</v>
      </c>
      <c r="C30" s="25" t="s">
        <v>166</v>
      </c>
      <c r="D30" s="25" t="s">
        <v>338</v>
      </c>
      <c r="E30" s="27">
        <f>33900/12*9</f>
        <v>25425</v>
      </c>
      <c r="F30" s="28">
        <v>1</v>
      </c>
      <c r="G30" s="27">
        <f t="shared" si="0"/>
        <v>25425</v>
      </c>
      <c r="H30" s="29">
        <v>0.5</v>
      </c>
      <c r="I30" s="27">
        <f t="shared" si="1"/>
        <v>12700</v>
      </c>
      <c r="J30" s="33"/>
      <c r="K30" s="34"/>
      <c r="L30" s="34"/>
      <c r="M30" s="34"/>
      <c r="N30" s="34"/>
      <c r="O30" s="34"/>
      <c r="P30" s="34"/>
      <c r="Q30" s="34"/>
      <c r="R30" s="34"/>
      <c r="S30" s="34"/>
    </row>
    <row r="31" spans="1:19">
      <c r="A31" s="25">
        <v>28</v>
      </c>
      <c r="B31" s="25" t="s">
        <v>18</v>
      </c>
      <c r="C31" s="25" t="s">
        <v>346</v>
      </c>
      <c r="D31" s="25" t="s">
        <v>347</v>
      </c>
      <c r="E31" s="27">
        <f>25000/20*9</f>
        <v>11250</v>
      </c>
      <c r="F31" s="28">
        <v>2</v>
      </c>
      <c r="G31" s="27">
        <f t="shared" si="0"/>
        <v>22500</v>
      </c>
      <c r="H31" s="29">
        <v>0.5</v>
      </c>
      <c r="I31" s="27">
        <f t="shared" si="1"/>
        <v>11200</v>
      </c>
      <c r="J31" s="33"/>
      <c r="K31" s="34"/>
      <c r="L31" s="34"/>
      <c r="M31" s="34"/>
      <c r="N31" s="34"/>
      <c r="O31" s="34"/>
      <c r="P31" s="34"/>
      <c r="Q31" s="34"/>
      <c r="R31" s="34"/>
      <c r="S31" s="34"/>
    </row>
    <row r="32" spans="1:19">
      <c r="A32" s="25">
        <v>29</v>
      </c>
      <c r="B32" s="25" t="s">
        <v>13</v>
      </c>
      <c r="C32" s="25" t="s">
        <v>274</v>
      </c>
      <c r="D32" s="25" t="s">
        <v>20</v>
      </c>
      <c r="E32" s="27">
        <f>12000+(12000*6%)</f>
        <v>12720</v>
      </c>
      <c r="F32" s="28">
        <v>1</v>
      </c>
      <c r="G32" s="27">
        <f t="shared" si="0"/>
        <v>12720</v>
      </c>
      <c r="H32" s="29">
        <v>0.5</v>
      </c>
      <c r="I32" s="27">
        <f t="shared" si="1"/>
        <v>6300</v>
      </c>
      <c r="J32" s="33"/>
      <c r="K32" s="34"/>
      <c r="L32" s="34"/>
      <c r="M32" s="34"/>
      <c r="N32" s="34"/>
      <c r="O32" s="34"/>
      <c r="P32" s="34"/>
      <c r="Q32" s="34"/>
      <c r="R32" s="34"/>
      <c r="S32" s="34"/>
    </row>
    <row r="33" spans="1:19">
      <c r="A33" s="25">
        <v>30</v>
      </c>
      <c r="B33" s="25" t="s">
        <v>13</v>
      </c>
      <c r="C33" s="25" t="s">
        <v>194</v>
      </c>
      <c r="D33" s="25" t="s">
        <v>20</v>
      </c>
      <c r="E33" s="27">
        <f>83952/39*9</f>
        <v>19373.5384615385</v>
      </c>
      <c r="F33" s="28">
        <v>2</v>
      </c>
      <c r="G33" s="27">
        <f t="shared" si="0"/>
        <v>38747.0769230769</v>
      </c>
      <c r="H33" s="29">
        <v>0.5</v>
      </c>
      <c r="I33" s="27">
        <f t="shared" si="1"/>
        <v>19300</v>
      </c>
      <c r="J33" s="33"/>
      <c r="K33" s="34"/>
      <c r="L33" s="34"/>
      <c r="M33" s="34"/>
      <c r="N33" s="34"/>
      <c r="O33" s="34"/>
      <c r="P33" s="34"/>
      <c r="Q33" s="34"/>
      <c r="R33" s="34"/>
      <c r="S33" s="34"/>
    </row>
    <row r="34" spans="1:19">
      <c r="A34" s="25">
        <v>31</v>
      </c>
      <c r="B34" s="25" t="s">
        <v>13</v>
      </c>
      <c r="C34" s="25" t="s">
        <v>348</v>
      </c>
      <c r="D34" s="25" t="s">
        <v>15</v>
      </c>
      <c r="E34" s="27">
        <f>342000/180*9</f>
        <v>17100</v>
      </c>
      <c r="F34" s="28">
        <v>2</v>
      </c>
      <c r="G34" s="27">
        <f t="shared" si="0"/>
        <v>34200</v>
      </c>
      <c r="H34" s="29">
        <v>0.5</v>
      </c>
      <c r="I34" s="27">
        <f t="shared" si="1"/>
        <v>17100</v>
      </c>
      <c r="J34" s="33"/>
      <c r="K34" s="34"/>
      <c r="L34" s="34"/>
      <c r="M34" s="34"/>
      <c r="N34" s="34"/>
      <c r="O34" s="34"/>
      <c r="P34" s="34"/>
      <c r="Q34" s="34"/>
      <c r="R34" s="34"/>
      <c r="S34" s="34"/>
    </row>
    <row r="35" ht="9" customHeight="true" spans="1:19">
      <c r="A35" s="25">
        <v>32</v>
      </c>
      <c r="B35" s="25" t="s">
        <v>18</v>
      </c>
      <c r="C35" s="25" t="s">
        <v>349</v>
      </c>
      <c r="D35" s="25" t="s">
        <v>338</v>
      </c>
      <c r="E35" s="27">
        <f>100800/42*9</f>
        <v>21600</v>
      </c>
      <c r="F35" s="28">
        <v>2</v>
      </c>
      <c r="G35" s="27">
        <f t="shared" si="0"/>
        <v>43200</v>
      </c>
      <c r="H35" s="29">
        <v>0.5</v>
      </c>
      <c r="I35" s="27">
        <f t="shared" si="1"/>
        <v>21600</v>
      </c>
      <c r="J35" s="33"/>
      <c r="K35" s="34"/>
      <c r="L35" s="34"/>
      <c r="M35" s="34"/>
      <c r="N35" s="34"/>
      <c r="O35" s="34"/>
      <c r="P35" s="34"/>
      <c r="Q35" s="34"/>
      <c r="R35" s="34"/>
      <c r="S35" s="34"/>
    </row>
    <row r="36" spans="1:19">
      <c r="A36" s="25">
        <v>33</v>
      </c>
      <c r="B36" s="25" t="s">
        <v>18</v>
      </c>
      <c r="C36" s="25" t="s">
        <v>349</v>
      </c>
      <c r="D36" s="25" t="s">
        <v>131</v>
      </c>
      <c r="E36" s="27">
        <f>19800/18*9</f>
        <v>9900</v>
      </c>
      <c r="F36" s="28">
        <v>2</v>
      </c>
      <c r="G36" s="27">
        <f t="shared" si="0"/>
        <v>19800</v>
      </c>
      <c r="H36" s="29">
        <v>0.5</v>
      </c>
      <c r="I36" s="27">
        <f t="shared" si="1"/>
        <v>9900</v>
      </c>
      <c r="J36" s="33"/>
      <c r="K36" s="34"/>
      <c r="L36" s="34"/>
      <c r="M36" s="34"/>
      <c r="N36" s="34"/>
      <c r="O36" s="34"/>
      <c r="P36" s="34"/>
      <c r="Q36" s="34"/>
      <c r="R36" s="34"/>
      <c r="S36" s="34"/>
    </row>
    <row r="37" ht="10" customHeight="true" spans="1:19">
      <c r="A37" s="25">
        <v>34</v>
      </c>
      <c r="B37" s="25" t="s">
        <v>25</v>
      </c>
      <c r="C37" s="25" t="s">
        <v>350</v>
      </c>
      <c r="D37" s="25" t="s">
        <v>131</v>
      </c>
      <c r="E37" s="27">
        <f>19800/18*9</f>
        <v>9900</v>
      </c>
      <c r="F37" s="28">
        <v>2</v>
      </c>
      <c r="G37" s="27">
        <f t="shared" si="0"/>
        <v>19800</v>
      </c>
      <c r="H37" s="29">
        <v>0.5</v>
      </c>
      <c r="I37" s="27">
        <f t="shared" si="1"/>
        <v>9900</v>
      </c>
      <c r="J37" s="33"/>
      <c r="K37" s="34"/>
      <c r="L37" s="34"/>
      <c r="M37" s="34"/>
      <c r="N37" s="34"/>
      <c r="O37" s="34"/>
      <c r="P37" s="34"/>
      <c r="Q37" s="34"/>
      <c r="R37" s="34"/>
      <c r="S37" s="34"/>
    </row>
    <row r="38" spans="1:19">
      <c r="A38" s="25">
        <v>35</v>
      </c>
      <c r="B38" s="25" t="s">
        <v>25</v>
      </c>
      <c r="C38" s="25" t="s">
        <v>165</v>
      </c>
      <c r="D38" s="25" t="s">
        <v>338</v>
      </c>
      <c r="E38" s="27">
        <f>42000/15*9</f>
        <v>25200</v>
      </c>
      <c r="F38" s="28">
        <v>1</v>
      </c>
      <c r="G38" s="27">
        <f t="shared" si="0"/>
        <v>25200</v>
      </c>
      <c r="H38" s="29">
        <v>0.5</v>
      </c>
      <c r="I38" s="27">
        <f t="shared" si="1"/>
        <v>12600</v>
      </c>
      <c r="J38" s="33"/>
      <c r="K38" s="34"/>
      <c r="L38" s="34"/>
      <c r="M38" s="34"/>
      <c r="N38" s="34"/>
      <c r="O38" s="34"/>
      <c r="P38" s="34"/>
      <c r="Q38" s="34"/>
      <c r="R38" s="34"/>
      <c r="S38" s="34"/>
    </row>
    <row r="39" spans="1:19">
      <c r="A39" s="25">
        <v>36</v>
      </c>
      <c r="B39" s="25" t="s">
        <v>25</v>
      </c>
      <c r="C39" s="25" t="s">
        <v>165</v>
      </c>
      <c r="D39" s="25" t="s">
        <v>131</v>
      </c>
      <c r="E39" s="27">
        <f>39600/18*9</f>
        <v>19800</v>
      </c>
      <c r="F39" s="28">
        <v>2</v>
      </c>
      <c r="G39" s="27">
        <f t="shared" si="0"/>
        <v>39600</v>
      </c>
      <c r="H39" s="29">
        <v>0.5</v>
      </c>
      <c r="I39" s="27">
        <f t="shared" si="1"/>
        <v>19800</v>
      </c>
      <c r="J39" s="33"/>
      <c r="K39" s="34"/>
      <c r="L39" s="34"/>
      <c r="M39" s="34"/>
      <c r="N39" s="34"/>
      <c r="O39" s="34"/>
      <c r="P39" s="34"/>
      <c r="Q39" s="34"/>
      <c r="R39" s="34"/>
      <c r="S39" s="34"/>
    </row>
    <row r="40" spans="1:19">
      <c r="A40" s="25">
        <v>37</v>
      </c>
      <c r="B40" s="25" t="s">
        <v>18</v>
      </c>
      <c r="C40" s="25" t="s">
        <v>190</v>
      </c>
      <c r="D40" s="25" t="s">
        <v>338</v>
      </c>
      <c r="E40" s="27">
        <f>89700/36*9</f>
        <v>22425</v>
      </c>
      <c r="F40" s="28">
        <v>2</v>
      </c>
      <c r="G40" s="27">
        <f t="shared" si="0"/>
        <v>44850</v>
      </c>
      <c r="H40" s="29">
        <v>0.5</v>
      </c>
      <c r="I40" s="27">
        <f t="shared" si="1"/>
        <v>22400</v>
      </c>
      <c r="J40" s="33"/>
      <c r="K40" s="34"/>
      <c r="L40" s="34"/>
      <c r="M40" s="34"/>
      <c r="N40" s="34"/>
      <c r="O40" s="34"/>
      <c r="P40" s="34"/>
      <c r="Q40" s="34"/>
      <c r="R40" s="34"/>
      <c r="S40" s="34"/>
    </row>
    <row r="41" spans="1:19">
      <c r="A41" s="25">
        <v>38</v>
      </c>
      <c r="B41" s="25" t="s">
        <v>18</v>
      </c>
      <c r="C41" s="25" t="s">
        <v>190</v>
      </c>
      <c r="D41" s="25" t="s">
        <v>131</v>
      </c>
      <c r="E41" s="27">
        <f>39600/18*9</f>
        <v>19800</v>
      </c>
      <c r="F41" s="28">
        <v>2</v>
      </c>
      <c r="G41" s="27">
        <f t="shared" si="0"/>
        <v>39600</v>
      </c>
      <c r="H41" s="29">
        <v>0.5</v>
      </c>
      <c r="I41" s="27">
        <f t="shared" si="1"/>
        <v>19800</v>
      </c>
      <c r="J41" s="33"/>
      <c r="K41" s="34"/>
      <c r="L41" s="34"/>
      <c r="M41" s="34"/>
      <c r="N41" s="34"/>
      <c r="O41" s="34"/>
      <c r="P41" s="34"/>
      <c r="Q41" s="34"/>
      <c r="R41" s="34"/>
      <c r="S41" s="34"/>
    </row>
    <row r="42" spans="1:19">
      <c r="A42" s="25">
        <v>39</v>
      </c>
      <c r="B42" s="25" t="s">
        <v>59</v>
      </c>
      <c r="C42" s="25" t="s">
        <v>351</v>
      </c>
      <c r="D42" s="25" t="s">
        <v>131</v>
      </c>
      <c r="E42" s="27">
        <f>39600/18*9</f>
        <v>19800</v>
      </c>
      <c r="F42" s="28">
        <v>2</v>
      </c>
      <c r="G42" s="27">
        <f t="shared" si="0"/>
        <v>39600</v>
      </c>
      <c r="H42" s="29">
        <v>0.5</v>
      </c>
      <c r="I42" s="27">
        <f t="shared" si="1"/>
        <v>19800</v>
      </c>
      <c r="J42" s="33"/>
      <c r="K42" s="34"/>
      <c r="L42" s="34"/>
      <c r="M42" s="34"/>
      <c r="N42" s="34"/>
      <c r="O42" s="34"/>
      <c r="P42" s="34"/>
      <c r="Q42" s="34"/>
      <c r="R42" s="34"/>
      <c r="S42" s="34"/>
    </row>
    <row r="43" spans="1:19">
      <c r="A43" s="25">
        <v>40</v>
      </c>
      <c r="B43" s="25" t="s">
        <v>16</v>
      </c>
      <c r="C43" s="25" t="s">
        <v>352</v>
      </c>
      <c r="D43" s="25" t="s">
        <v>131</v>
      </c>
      <c r="E43" s="27">
        <f>39600/18*9</f>
        <v>19800</v>
      </c>
      <c r="F43" s="28">
        <v>2</v>
      </c>
      <c r="G43" s="27">
        <f t="shared" si="0"/>
        <v>39600</v>
      </c>
      <c r="H43" s="29">
        <v>0.5</v>
      </c>
      <c r="I43" s="27">
        <f t="shared" si="1"/>
        <v>19800</v>
      </c>
      <c r="J43" s="33"/>
      <c r="K43" s="34"/>
      <c r="L43" s="34"/>
      <c r="M43" s="34"/>
      <c r="N43" s="34"/>
      <c r="O43" s="34"/>
      <c r="P43" s="34"/>
      <c r="Q43" s="34"/>
      <c r="R43" s="34"/>
      <c r="S43" s="34"/>
    </row>
    <row r="44" spans="1:19">
      <c r="A44" s="25">
        <v>41</v>
      </c>
      <c r="B44" s="25" t="s">
        <v>13</v>
      </c>
      <c r="C44" s="25" t="s">
        <v>353</v>
      </c>
      <c r="D44" s="25" t="s">
        <v>338</v>
      </c>
      <c r="E44" s="27">
        <f>82180/31.5*9</f>
        <v>23480</v>
      </c>
      <c r="F44" s="28">
        <v>2</v>
      </c>
      <c r="G44" s="27">
        <f t="shared" si="0"/>
        <v>46960</v>
      </c>
      <c r="H44" s="29">
        <v>0.5</v>
      </c>
      <c r="I44" s="27">
        <f t="shared" si="1"/>
        <v>23400</v>
      </c>
      <c r="J44" s="33"/>
      <c r="K44" s="34"/>
      <c r="L44" s="34"/>
      <c r="M44" s="34"/>
      <c r="N44" s="34"/>
      <c r="O44" s="34"/>
      <c r="P44" s="34"/>
      <c r="Q44" s="34"/>
      <c r="R44" s="34"/>
      <c r="S44" s="34"/>
    </row>
    <row r="45" spans="1:19">
      <c r="A45" s="25">
        <v>42</v>
      </c>
      <c r="B45" s="25" t="s">
        <v>13</v>
      </c>
      <c r="C45" s="25" t="s">
        <v>353</v>
      </c>
      <c r="D45" s="25" t="s">
        <v>131</v>
      </c>
      <c r="E45" s="27">
        <f>39600/18*9</f>
        <v>19800</v>
      </c>
      <c r="F45" s="28">
        <v>2</v>
      </c>
      <c r="G45" s="27">
        <f t="shared" si="0"/>
        <v>39600</v>
      </c>
      <c r="H45" s="29">
        <v>0.5</v>
      </c>
      <c r="I45" s="27">
        <f t="shared" si="1"/>
        <v>19800</v>
      </c>
      <c r="J45" s="33"/>
      <c r="K45" s="34"/>
      <c r="L45" s="34"/>
      <c r="M45" s="34"/>
      <c r="N45" s="34"/>
      <c r="O45" s="34"/>
      <c r="P45" s="34"/>
      <c r="Q45" s="34"/>
      <c r="R45" s="34"/>
      <c r="S45" s="34"/>
    </row>
    <row r="46" ht="12" customHeight="true" spans="1:19">
      <c r="A46" s="25">
        <v>43</v>
      </c>
      <c r="B46" s="25" t="s">
        <v>28</v>
      </c>
      <c r="C46" s="25" t="s">
        <v>354</v>
      </c>
      <c r="D46" s="25" t="s">
        <v>338</v>
      </c>
      <c r="E46" s="27">
        <f>25500/12*9</f>
        <v>19125</v>
      </c>
      <c r="F46" s="28">
        <v>1</v>
      </c>
      <c r="G46" s="27">
        <f t="shared" si="0"/>
        <v>19125</v>
      </c>
      <c r="H46" s="29">
        <v>0.5</v>
      </c>
      <c r="I46" s="27">
        <f t="shared" si="1"/>
        <v>9500</v>
      </c>
      <c r="J46" s="33"/>
      <c r="K46" s="34"/>
      <c r="L46" s="34"/>
      <c r="M46" s="34"/>
      <c r="N46" s="34"/>
      <c r="O46" s="34"/>
      <c r="P46" s="34"/>
      <c r="Q46" s="34"/>
      <c r="R46" s="34"/>
      <c r="S46" s="34"/>
    </row>
    <row r="47" spans="1:19">
      <c r="A47" s="25">
        <v>44</v>
      </c>
      <c r="B47" s="25" t="s">
        <v>51</v>
      </c>
      <c r="C47" s="25" t="s">
        <v>52</v>
      </c>
      <c r="D47" s="25" t="s">
        <v>20</v>
      </c>
      <c r="E47" s="27">
        <f>83952/36*9</f>
        <v>20988</v>
      </c>
      <c r="F47" s="28">
        <v>2</v>
      </c>
      <c r="G47" s="27">
        <f t="shared" si="0"/>
        <v>41976</v>
      </c>
      <c r="H47" s="29">
        <v>0.5</v>
      </c>
      <c r="I47" s="27">
        <f t="shared" si="1"/>
        <v>20900</v>
      </c>
      <c r="J47" s="33"/>
      <c r="K47" s="34"/>
      <c r="L47" s="34"/>
      <c r="M47" s="34"/>
      <c r="N47" s="34"/>
      <c r="O47" s="34"/>
      <c r="P47" s="34"/>
      <c r="Q47" s="34"/>
      <c r="R47" s="34"/>
      <c r="S47" s="34"/>
    </row>
    <row r="48" spans="1:19">
      <c r="A48" s="25">
        <v>45</v>
      </c>
      <c r="B48" s="25" t="s">
        <v>13</v>
      </c>
      <c r="C48" s="25" t="s">
        <v>53</v>
      </c>
      <c r="D48" s="25" t="s">
        <v>20</v>
      </c>
      <c r="E48" s="27">
        <f>12000+(12000*6%)</f>
        <v>12720</v>
      </c>
      <c r="F48" s="28">
        <v>2</v>
      </c>
      <c r="G48" s="27">
        <f t="shared" si="0"/>
        <v>25440</v>
      </c>
      <c r="H48" s="29">
        <v>0.5</v>
      </c>
      <c r="I48" s="27">
        <f t="shared" si="1"/>
        <v>12700</v>
      </c>
      <c r="J48" s="33"/>
      <c r="K48" s="34"/>
      <c r="L48" s="34"/>
      <c r="M48" s="34"/>
      <c r="N48" s="34"/>
      <c r="O48" s="34"/>
      <c r="P48" s="34"/>
      <c r="Q48" s="34"/>
      <c r="R48" s="34"/>
      <c r="S48" s="34"/>
    </row>
    <row r="49" spans="1:19">
      <c r="A49" s="25">
        <v>46</v>
      </c>
      <c r="B49" s="25" t="s">
        <v>23</v>
      </c>
      <c r="C49" s="25" t="s">
        <v>238</v>
      </c>
      <c r="D49" s="25" t="s">
        <v>131</v>
      </c>
      <c r="E49" s="27">
        <f>39600/18*9</f>
        <v>19800</v>
      </c>
      <c r="F49" s="28">
        <v>2</v>
      </c>
      <c r="G49" s="27">
        <f t="shared" si="0"/>
        <v>39600</v>
      </c>
      <c r="H49" s="29">
        <v>0.5</v>
      </c>
      <c r="I49" s="27">
        <f t="shared" si="1"/>
        <v>19800</v>
      </c>
      <c r="J49" s="33"/>
      <c r="K49" s="34"/>
      <c r="L49" s="34"/>
      <c r="M49" s="34"/>
      <c r="N49" s="34"/>
      <c r="O49" s="34"/>
      <c r="P49" s="34"/>
      <c r="Q49" s="34"/>
      <c r="R49" s="34"/>
      <c r="S49" s="34"/>
    </row>
    <row r="50" spans="1:19">
      <c r="A50" s="25">
        <v>47</v>
      </c>
      <c r="B50" s="25" t="s">
        <v>23</v>
      </c>
      <c r="C50" s="25" t="s">
        <v>238</v>
      </c>
      <c r="D50" s="25" t="s">
        <v>338</v>
      </c>
      <c r="E50" s="27">
        <f>33900/12*9</f>
        <v>25425</v>
      </c>
      <c r="F50" s="28">
        <v>1</v>
      </c>
      <c r="G50" s="27">
        <f t="shared" si="0"/>
        <v>25425</v>
      </c>
      <c r="H50" s="29">
        <v>0.5</v>
      </c>
      <c r="I50" s="27">
        <f t="shared" si="1"/>
        <v>12700</v>
      </c>
      <c r="J50" s="33"/>
      <c r="K50" s="34"/>
      <c r="L50" s="34"/>
      <c r="M50" s="34"/>
      <c r="N50" s="34"/>
      <c r="O50" s="34"/>
      <c r="P50" s="34"/>
      <c r="Q50" s="34"/>
      <c r="R50" s="34"/>
      <c r="S50" s="34"/>
    </row>
    <row r="51" spans="1:19">
      <c r="A51" s="25">
        <v>48</v>
      </c>
      <c r="B51" s="25" t="s">
        <v>112</v>
      </c>
      <c r="C51" s="25" t="s">
        <v>355</v>
      </c>
      <c r="D51" s="25" t="s">
        <v>131</v>
      </c>
      <c r="E51" s="27">
        <f>39600/18*9</f>
        <v>19800</v>
      </c>
      <c r="F51" s="28">
        <v>2</v>
      </c>
      <c r="G51" s="27">
        <f t="shared" si="0"/>
        <v>39600</v>
      </c>
      <c r="H51" s="29">
        <v>0.5</v>
      </c>
      <c r="I51" s="27">
        <f t="shared" si="1"/>
        <v>19800</v>
      </c>
      <c r="J51" s="33"/>
      <c r="K51" s="34"/>
      <c r="L51" s="34"/>
      <c r="M51" s="34"/>
      <c r="N51" s="34"/>
      <c r="O51" s="34"/>
      <c r="P51" s="34"/>
      <c r="Q51" s="34"/>
      <c r="R51" s="34"/>
      <c r="S51" s="34"/>
    </row>
    <row r="52" spans="1:19">
      <c r="A52" s="25">
        <v>49</v>
      </c>
      <c r="B52" s="25" t="s">
        <v>23</v>
      </c>
      <c r="C52" s="25" t="s">
        <v>356</v>
      </c>
      <c r="D52" s="25" t="s">
        <v>131</v>
      </c>
      <c r="E52" s="27">
        <f>39600/18*9</f>
        <v>19800</v>
      </c>
      <c r="F52" s="28">
        <v>2</v>
      </c>
      <c r="G52" s="27">
        <f t="shared" si="0"/>
        <v>39600</v>
      </c>
      <c r="H52" s="29">
        <v>0.5</v>
      </c>
      <c r="I52" s="27">
        <f t="shared" si="1"/>
        <v>19800</v>
      </c>
      <c r="J52" s="33"/>
      <c r="K52" s="34"/>
      <c r="L52" s="34"/>
      <c r="M52" s="34"/>
      <c r="N52" s="34"/>
      <c r="O52" s="34"/>
      <c r="P52" s="34"/>
      <c r="Q52" s="34"/>
      <c r="R52" s="34"/>
      <c r="S52" s="34"/>
    </row>
    <row r="53" spans="1:19">
      <c r="A53" s="25">
        <v>50</v>
      </c>
      <c r="B53" s="25" t="s">
        <v>21</v>
      </c>
      <c r="C53" s="25" t="s">
        <v>357</v>
      </c>
      <c r="D53" s="25" t="s">
        <v>338</v>
      </c>
      <c r="E53" s="27">
        <f>33900/12*9</f>
        <v>25425</v>
      </c>
      <c r="F53" s="28">
        <v>1</v>
      </c>
      <c r="G53" s="27">
        <f t="shared" si="0"/>
        <v>25425</v>
      </c>
      <c r="H53" s="29">
        <v>0.5</v>
      </c>
      <c r="I53" s="27">
        <f t="shared" si="1"/>
        <v>12700</v>
      </c>
      <c r="J53" s="33"/>
      <c r="K53" s="34"/>
      <c r="L53" s="34"/>
      <c r="M53" s="34"/>
      <c r="N53" s="34"/>
      <c r="O53" s="34"/>
      <c r="P53" s="34"/>
      <c r="Q53" s="34"/>
      <c r="R53" s="34"/>
      <c r="S53" s="34"/>
    </row>
    <row r="54" spans="1:19">
      <c r="A54" s="25">
        <v>51</v>
      </c>
      <c r="B54" s="25" t="s">
        <v>112</v>
      </c>
      <c r="C54" s="25" t="s">
        <v>172</v>
      </c>
      <c r="D54" s="25" t="s">
        <v>20</v>
      </c>
      <c r="E54" s="27">
        <f>12000+(12000*6%)</f>
        <v>12720</v>
      </c>
      <c r="F54" s="28">
        <v>2</v>
      </c>
      <c r="G54" s="27">
        <f t="shared" si="0"/>
        <v>25440</v>
      </c>
      <c r="H54" s="29">
        <v>0.5</v>
      </c>
      <c r="I54" s="27">
        <f t="shared" si="1"/>
        <v>12700</v>
      </c>
      <c r="J54" s="33"/>
      <c r="K54" s="34"/>
      <c r="L54" s="34"/>
      <c r="M54" s="34"/>
      <c r="N54" s="34"/>
      <c r="O54" s="34"/>
      <c r="P54" s="34"/>
      <c r="Q54" s="34"/>
      <c r="R54" s="34"/>
      <c r="S54" s="34"/>
    </row>
    <row r="55" spans="1:19">
      <c r="A55" s="25">
        <v>52</v>
      </c>
      <c r="B55" s="25" t="s">
        <v>28</v>
      </c>
      <c r="C55" s="25" t="s">
        <v>358</v>
      </c>
      <c r="D55" s="25" t="s">
        <v>15</v>
      </c>
      <c r="E55" s="27">
        <f>75200/8</f>
        <v>9400</v>
      </c>
      <c r="F55" s="28">
        <v>2</v>
      </c>
      <c r="G55" s="27">
        <f t="shared" si="0"/>
        <v>18800</v>
      </c>
      <c r="H55" s="29">
        <v>0.5</v>
      </c>
      <c r="I55" s="27">
        <f t="shared" si="1"/>
        <v>9400</v>
      </c>
      <c r="J55" s="33"/>
      <c r="K55" s="34"/>
      <c r="L55" s="34"/>
      <c r="M55" s="34"/>
      <c r="N55" s="34"/>
      <c r="O55" s="34"/>
      <c r="P55" s="34"/>
      <c r="Q55" s="34"/>
      <c r="R55" s="34"/>
      <c r="S55" s="34"/>
    </row>
    <row r="56" spans="1:19">
      <c r="A56" s="25">
        <v>53</v>
      </c>
      <c r="B56" s="25" t="s">
        <v>359</v>
      </c>
      <c r="C56" s="25" t="s">
        <v>360</v>
      </c>
      <c r="D56" s="25" t="s">
        <v>30</v>
      </c>
      <c r="E56" s="27">
        <f>16800</f>
        <v>16800</v>
      </c>
      <c r="F56" s="28">
        <v>1</v>
      </c>
      <c r="G56" s="27">
        <f t="shared" si="0"/>
        <v>16800</v>
      </c>
      <c r="H56" s="29">
        <v>0.5</v>
      </c>
      <c r="I56" s="27">
        <f t="shared" si="1"/>
        <v>8400</v>
      </c>
      <c r="J56" s="33"/>
      <c r="K56" s="34"/>
      <c r="L56" s="34"/>
      <c r="M56" s="34"/>
      <c r="N56" s="34"/>
      <c r="O56" s="34"/>
      <c r="P56" s="34"/>
      <c r="Q56" s="34"/>
      <c r="R56" s="34"/>
      <c r="S56" s="34"/>
    </row>
    <row r="57" spans="1:19">
      <c r="A57" s="25">
        <v>54</v>
      </c>
      <c r="B57" s="25" t="s">
        <v>59</v>
      </c>
      <c r="C57" s="25" t="s">
        <v>130</v>
      </c>
      <c r="D57" s="25" t="s">
        <v>338</v>
      </c>
      <c r="E57" s="27">
        <f>33900/12*9</f>
        <v>25425</v>
      </c>
      <c r="F57" s="28">
        <v>1</v>
      </c>
      <c r="G57" s="27">
        <f t="shared" si="0"/>
        <v>25425</v>
      </c>
      <c r="H57" s="29">
        <v>0.5</v>
      </c>
      <c r="I57" s="27">
        <f t="shared" si="1"/>
        <v>12700</v>
      </c>
      <c r="J57" s="33"/>
      <c r="K57" s="34"/>
      <c r="L57" s="34"/>
      <c r="M57" s="34"/>
      <c r="N57" s="34"/>
      <c r="O57" s="34"/>
      <c r="P57" s="34"/>
      <c r="Q57" s="34"/>
      <c r="R57" s="34"/>
      <c r="S57" s="34"/>
    </row>
    <row r="58" ht="16" customHeight="true" spans="1:19">
      <c r="A58" s="25">
        <v>55</v>
      </c>
      <c r="B58" s="25" t="s">
        <v>359</v>
      </c>
      <c r="C58" s="25" t="s">
        <v>151</v>
      </c>
      <c r="D58" s="25" t="s">
        <v>20</v>
      </c>
      <c r="E58" s="27">
        <f>12000+(12000*6%)</f>
        <v>12720</v>
      </c>
      <c r="F58" s="28">
        <v>1</v>
      </c>
      <c r="G58" s="27">
        <f t="shared" si="0"/>
        <v>12720</v>
      </c>
      <c r="H58" s="29">
        <v>0.5</v>
      </c>
      <c r="I58" s="27">
        <f t="shared" si="1"/>
        <v>6300</v>
      </c>
      <c r="J58" s="33"/>
      <c r="K58" s="34"/>
      <c r="L58" s="34"/>
      <c r="M58" s="34"/>
      <c r="N58" s="34"/>
      <c r="O58" s="34"/>
      <c r="P58" s="34"/>
      <c r="Q58" s="34"/>
      <c r="R58" s="34"/>
      <c r="S58" s="34"/>
    </row>
    <row r="59" spans="1:19">
      <c r="A59" s="25">
        <v>56</v>
      </c>
      <c r="B59" s="25" t="s">
        <v>28</v>
      </c>
      <c r="C59" s="25" t="s">
        <v>361</v>
      </c>
      <c r="D59" s="25" t="s">
        <v>15</v>
      </c>
      <c r="E59" s="27">
        <f>122400/72*9</f>
        <v>15300</v>
      </c>
      <c r="F59" s="28">
        <v>2</v>
      </c>
      <c r="G59" s="27">
        <f t="shared" si="0"/>
        <v>30600</v>
      </c>
      <c r="H59" s="29">
        <v>0.5</v>
      </c>
      <c r="I59" s="27">
        <f t="shared" si="1"/>
        <v>15300</v>
      </c>
      <c r="J59" s="33"/>
      <c r="K59" s="34"/>
      <c r="L59" s="34"/>
      <c r="M59" s="34"/>
      <c r="N59" s="34"/>
      <c r="O59" s="34"/>
      <c r="P59" s="34"/>
      <c r="Q59" s="34"/>
      <c r="R59" s="34"/>
      <c r="S59" s="34"/>
    </row>
    <row r="60" spans="1:19">
      <c r="A60" s="25">
        <v>57</v>
      </c>
      <c r="B60" s="25" t="s">
        <v>25</v>
      </c>
      <c r="C60" s="25" t="s">
        <v>107</v>
      </c>
      <c r="D60" s="25" t="s">
        <v>20</v>
      </c>
      <c r="E60" s="27">
        <f>12000+(12000*6%)</f>
        <v>12720</v>
      </c>
      <c r="F60" s="28">
        <v>2</v>
      </c>
      <c r="G60" s="27">
        <f t="shared" si="0"/>
        <v>25440</v>
      </c>
      <c r="H60" s="29">
        <v>0.5</v>
      </c>
      <c r="I60" s="27">
        <f t="shared" si="1"/>
        <v>12700</v>
      </c>
      <c r="J60" s="33"/>
      <c r="K60" s="34"/>
      <c r="L60" s="34"/>
      <c r="M60" s="34"/>
      <c r="N60" s="34"/>
      <c r="O60" s="34"/>
      <c r="P60" s="34"/>
      <c r="Q60" s="34"/>
      <c r="R60" s="34"/>
      <c r="S60" s="34"/>
    </row>
    <row r="61" spans="1:19">
      <c r="A61" s="25">
        <v>58</v>
      </c>
      <c r="B61" s="25" t="s">
        <v>359</v>
      </c>
      <c r="C61" s="25" t="s">
        <v>362</v>
      </c>
      <c r="D61" s="25" t="s">
        <v>20</v>
      </c>
      <c r="E61" s="27">
        <f>12000+(12000*6%)</f>
        <v>12720</v>
      </c>
      <c r="F61" s="28">
        <v>1</v>
      </c>
      <c r="G61" s="27">
        <f t="shared" si="0"/>
        <v>12720</v>
      </c>
      <c r="H61" s="29">
        <v>0.5</v>
      </c>
      <c r="I61" s="27">
        <f t="shared" si="1"/>
        <v>6300</v>
      </c>
      <c r="J61" s="33"/>
      <c r="K61" s="34"/>
      <c r="L61" s="34"/>
      <c r="M61" s="34"/>
      <c r="N61" s="34"/>
      <c r="O61" s="34"/>
      <c r="P61" s="34"/>
      <c r="Q61" s="34"/>
      <c r="R61" s="34"/>
      <c r="S61" s="34"/>
    </row>
    <row r="62" spans="1:19">
      <c r="A62" s="25">
        <v>59</v>
      </c>
      <c r="B62" s="25" t="s">
        <v>28</v>
      </c>
      <c r="C62" s="25" t="s">
        <v>363</v>
      </c>
      <c r="D62" s="25" t="s">
        <v>44</v>
      </c>
      <c r="E62" s="27">
        <f>81000/54*9</f>
        <v>13500</v>
      </c>
      <c r="F62" s="28">
        <v>2</v>
      </c>
      <c r="G62" s="27">
        <f t="shared" si="0"/>
        <v>27000</v>
      </c>
      <c r="H62" s="29">
        <v>0.5</v>
      </c>
      <c r="I62" s="27">
        <f t="shared" si="1"/>
        <v>13500</v>
      </c>
      <c r="J62" s="33"/>
      <c r="K62" s="34"/>
      <c r="L62" s="34"/>
      <c r="M62" s="34"/>
      <c r="N62" s="34"/>
      <c r="O62" s="34"/>
      <c r="P62" s="34"/>
      <c r="Q62" s="34"/>
      <c r="R62" s="34"/>
      <c r="S62" s="34"/>
    </row>
    <row r="63" spans="1:19">
      <c r="A63" s="25">
        <v>60</v>
      </c>
      <c r="B63" s="25" t="s">
        <v>61</v>
      </c>
      <c r="C63" s="25" t="s">
        <v>364</v>
      </c>
      <c r="D63" s="25" t="s">
        <v>30</v>
      </c>
      <c r="E63" s="27">
        <f>16800</f>
        <v>16800</v>
      </c>
      <c r="F63" s="28">
        <v>2</v>
      </c>
      <c r="G63" s="27">
        <f t="shared" si="0"/>
        <v>33600</v>
      </c>
      <c r="H63" s="29">
        <v>0.5</v>
      </c>
      <c r="I63" s="27">
        <f t="shared" si="1"/>
        <v>16800</v>
      </c>
      <c r="J63" s="33"/>
      <c r="K63" s="34"/>
      <c r="L63" s="34"/>
      <c r="M63" s="34"/>
      <c r="N63" s="34"/>
      <c r="O63" s="34"/>
      <c r="P63" s="34"/>
      <c r="Q63" s="34"/>
      <c r="R63" s="34"/>
      <c r="S63" s="34"/>
    </row>
    <row r="64" ht="40.5" spans="1:19">
      <c r="A64" s="26">
        <v>61</v>
      </c>
      <c r="B64" s="26" t="s">
        <v>13</v>
      </c>
      <c r="C64" s="26" t="s">
        <v>365</v>
      </c>
      <c r="D64" s="26" t="s">
        <v>347</v>
      </c>
      <c r="E64" s="30"/>
      <c r="F64" s="31"/>
      <c r="G64" s="30">
        <f t="shared" si="0"/>
        <v>0</v>
      </c>
      <c r="H64" s="32"/>
      <c r="I64" s="30">
        <f t="shared" si="1"/>
        <v>0</v>
      </c>
      <c r="J64" s="35" t="s">
        <v>366</v>
      </c>
      <c r="K64" s="36"/>
      <c r="L64" s="36"/>
      <c r="M64" s="36"/>
      <c r="N64" s="36"/>
      <c r="O64" s="36"/>
      <c r="P64" s="36"/>
      <c r="Q64" s="36"/>
      <c r="R64" s="36"/>
      <c r="S64" s="36"/>
    </row>
    <row r="65" spans="1:19">
      <c r="A65" s="25">
        <v>62</v>
      </c>
      <c r="B65" s="25" t="s">
        <v>13</v>
      </c>
      <c r="C65" s="25" t="s">
        <v>265</v>
      </c>
      <c r="D65" s="25" t="s">
        <v>20</v>
      </c>
      <c r="E65" s="27">
        <f>12000+(12000*6%)</f>
        <v>12720</v>
      </c>
      <c r="F65" s="28">
        <v>1</v>
      </c>
      <c r="G65" s="27">
        <f t="shared" si="0"/>
        <v>12720</v>
      </c>
      <c r="H65" s="29">
        <v>0.5</v>
      </c>
      <c r="I65" s="27">
        <f t="shared" si="1"/>
        <v>6300</v>
      </c>
      <c r="J65" s="33"/>
      <c r="K65" s="34"/>
      <c r="L65" s="34"/>
      <c r="M65" s="34"/>
      <c r="N65" s="34"/>
      <c r="O65" s="34"/>
      <c r="P65" s="34"/>
      <c r="Q65" s="34"/>
      <c r="R65" s="34"/>
      <c r="S65" s="34"/>
    </row>
    <row r="66" spans="1:19">
      <c r="A66" s="25">
        <v>63</v>
      </c>
      <c r="B66" s="25" t="s">
        <v>21</v>
      </c>
      <c r="C66" s="25" t="s">
        <v>291</v>
      </c>
      <c r="D66" s="25" t="s">
        <v>20</v>
      </c>
      <c r="E66" s="27">
        <f>12000+(12000*6%)</f>
        <v>12720</v>
      </c>
      <c r="F66" s="28">
        <v>1</v>
      </c>
      <c r="G66" s="27">
        <f t="shared" si="0"/>
        <v>12720</v>
      </c>
      <c r="H66" s="29">
        <v>0.5</v>
      </c>
      <c r="I66" s="27">
        <f t="shared" si="1"/>
        <v>6300</v>
      </c>
      <c r="J66" s="33"/>
      <c r="K66" s="34"/>
      <c r="L66" s="34"/>
      <c r="M66" s="34"/>
      <c r="N66" s="34"/>
      <c r="O66" s="34"/>
      <c r="P66" s="34"/>
      <c r="Q66" s="34"/>
      <c r="R66" s="34"/>
      <c r="S66" s="34"/>
    </row>
    <row r="67" spans="1:19">
      <c r="A67" s="25">
        <v>64</v>
      </c>
      <c r="B67" s="25" t="s">
        <v>18</v>
      </c>
      <c r="C67" s="25" t="s">
        <v>19</v>
      </c>
      <c r="D67" s="25" t="s">
        <v>20</v>
      </c>
      <c r="E67" s="27">
        <f>12000+(12000*6%)</f>
        <v>12720</v>
      </c>
      <c r="F67" s="28">
        <v>2</v>
      </c>
      <c r="G67" s="27">
        <f t="shared" si="0"/>
        <v>25440</v>
      </c>
      <c r="H67" s="29">
        <v>0.5</v>
      </c>
      <c r="I67" s="27">
        <f t="shared" si="1"/>
        <v>12700</v>
      </c>
      <c r="J67" s="33"/>
      <c r="K67" s="34"/>
      <c r="L67" s="34"/>
      <c r="M67" s="34"/>
      <c r="N67" s="34"/>
      <c r="O67" s="34"/>
      <c r="P67" s="34"/>
      <c r="Q67" s="34"/>
      <c r="R67" s="34"/>
      <c r="S67" s="34"/>
    </row>
    <row r="68" spans="1:19">
      <c r="A68" s="25">
        <v>65</v>
      </c>
      <c r="B68" s="25" t="s">
        <v>112</v>
      </c>
      <c r="C68" s="25" t="s">
        <v>113</v>
      </c>
      <c r="D68" s="25" t="s">
        <v>20</v>
      </c>
      <c r="E68" s="27">
        <f>12000+(12000*6%)</f>
        <v>12720</v>
      </c>
      <c r="F68" s="28">
        <v>1</v>
      </c>
      <c r="G68" s="27">
        <f t="shared" ref="G68:G131" si="2">E68*F68</f>
        <v>12720</v>
      </c>
      <c r="H68" s="29">
        <v>0.5</v>
      </c>
      <c r="I68" s="27">
        <f t="shared" ref="I68:I131" si="3">ROUNDDOWN(G68*H68,-2)</f>
        <v>6300</v>
      </c>
      <c r="J68" s="33"/>
      <c r="K68" s="34"/>
      <c r="L68" s="34"/>
      <c r="M68" s="34"/>
      <c r="N68" s="34"/>
      <c r="O68" s="34"/>
      <c r="P68" s="34"/>
      <c r="Q68" s="34"/>
      <c r="R68" s="34"/>
      <c r="S68" s="34"/>
    </row>
    <row r="69" spans="1:19">
      <c r="A69" s="25">
        <v>66</v>
      </c>
      <c r="B69" s="25" t="s">
        <v>13</v>
      </c>
      <c r="C69" s="25" t="s">
        <v>55</v>
      </c>
      <c r="D69" s="25" t="s">
        <v>20</v>
      </c>
      <c r="E69" s="27">
        <v>15000</v>
      </c>
      <c r="F69" s="28">
        <v>1</v>
      </c>
      <c r="G69" s="27">
        <f t="shared" si="2"/>
        <v>15000</v>
      </c>
      <c r="H69" s="29">
        <v>0.5</v>
      </c>
      <c r="I69" s="27">
        <f t="shared" si="3"/>
        <v>7500</v>
      </c>
      <c r="J69" s="33"/>
      <c r="K69" s="34"/>
      <c r="L69" s="34"/>
      <c r="M69" s="34"/>
      <c r="N69" s="34"/>
      <c r="O69" s="34"/>
      <c r="P69" s="34"/>
      <c r="Q69" s="34"/>
      <c r="R69" s="34"/>
      <c r="S69" s="34"/>
    </row>
    <row r="70" spans="1:19">
      <c r="A70" s="25">
        <v>67</v>
      </c>
      <c r="B70" s="25" t="s">
        <v>28</v>
      </c>
      <c r="C70" s="25" t="s">
        <v>134</v>
      </c>
      <c r="D70" s="25" t="s">
        <v>338</v>
      </c>
      <c r="E70" s="27">
        <f>33900/12*9</f>
        <v>25425</v>
      </c>
      <c r="F70" s="28">
        <v>1</v>
      </c>
      <c r="G70" s="27">
        <f t="shared" si="2"/>
        <v>25425</v>
      </c>
      <c r="H70" s="29">
        <v>0.5</v>
      </c>
      <c r="I70" s="27">
        <f t="shared" si="3"/>
        <v>12700</v>
      </c>
      <c r="J70" s="33"/>
      <c r="K70" s="34"/>
      <c r="L70" s="34"/>
      <c r="M70" s="34"/>
      <c r="N70" s="34"/>
      <c r="O70" s="34"/>
      <c r="P70" s="34"/>
      <c r="Q70" s="34"/>
      <c r="R70" s="34"/>
      <c r="S70" s="34"/>
    </row>
    <row r="71" spans="1:19">
      <c r="A71" s="25">
        <v>68</v>
      </c>
      <c r="B71" s="25" t="s">
        <v>25</v>
      </c>
      <c r="C71" s="25" t="s">
        <v>367</v>
      </c>
      <c r="D71" s="25" t="s">
        <v>338</v>
      </c>
      <c r="E71" s="27">
        <f>25500/12*9</f>
        <v>19125</v>
      </c>
      <c r="F71" s="28">
        <v>1</v>
      </c>
      <c r="G71" s="27">
        <f t="shared" si="2"/>
        <v>19125</v>
      </c>
      <c r="H71" s="29">
        <v>0.5</v>
      </c>
      <c r="I71" s="27">
        <f t="shared" si="3"/>
        <v>9500</v>
      </c>
      <c r="J71" s="33"/>
      <c r="K71" s="34"/>
      <c r="L71" s="34"/>
      <c r="M71" s="34"/>
      <c r="N71" s="34"/>
      <c r="O71" s="34"/>
      <c r="P71" s="34"/>
      <c r="Q71" s="34"/>
      <c r="R71" s="34"/>
      <c r="S71" s="34"/>
    </row>
    <row r="72" spans="1:19">
      <c r="A72" s="25">
        <v>69</v>
      </c>
      <c r="B72" s="25" t="s">
        <v>18</v>
      </c>
      <c r="C72" s="25" t="s">
        <v>368</v>
      </c>
      <c r="D72" s="25" t="s">
        <v>338</v>
      </c>
      <c r="E72" s="27">
        <f>33900/12*9</f>
        <v>25425</v>
      </c>
      <c r="F72" s="28">
        <v>1</v>
      </c>
      <c r="G72" s="27">
        <f t="shared" si="2"/>
        <v>25425</v>
      </c>
      <c r="H72" s="29">
        <v>0.5</v>
      </c>
      <c r="I72" s="27">
        <f t="shared" si="3"/>
        <v>12700</v>
      </c>
      <c r="J72" s="33"/>
      <c r="K72" s="34"/>
      <c r="L72" s="34"/>
      <c r="M72" s="34"/>
      <c r="N72" s="34"/>
      <c r="O72" s="34"/>
      <c r="P72" s="34"/>
      <c r="Q72" s="34"/>
      <c r="R72" s="34"/>
      <c r="S72" s="34"/>
    </row>
    <row r="73" spans="1:19">
      <c r="A73" s="25">
        <v>70</v>
      </c>
      <c r="B73" s="25" t="s">
        <v>13</v>
      </c>
      <c r="C73" s="25" t="s">
        <v>124</v>
      </c>
      <c r="D73" s="25" t="s">
        <v>20</v>
      </c>
      <c r="E73" s="27">
        <f>12000+(12000*6%)</f>
        <v>12720</v>
      </c>
      <c r="F73" s="28">
        <v>2</v>
      </c>
      <c r="G73" s="27">
        <f t="shared" si="2"/>
        <v>25440</v>
      </c>
      <c r="H73" s="29">
        <v>0.5</v>
      </c>
      <c r="I73" s="27">
        <f t="shared" si="3"/>
        <v>12700</v>
      </c>
      <c r="J73" s="33"/>
      <c r="K73" s="34"/>
      <c r="L73" s="34"/>
      <c r="M73" s="34"/>
      <c r="N73" s="34"/>
      <c r="O73" s="34"/>
      <c r="P73" s="34"/>
      <c r="Q73" s="34"/>
      <c r="R73" s="34"/>
      <c r="S73" s="34"/>
    </row>
    <row r="74" spans="1:19">
      <c r="A74" s="25">
        <v>71</v>
      </c>
      <c r="B74" s="25" t="s">
        <v>23</v>
      </c>
      <c r="C74" s="25" t="s">
        <v>191</v>
      </c>
      <c r="D74" s="25" t="s">
        <v>131</v>
      </c>
      <c r="E74" s="27">
        <f>39600/18*9</f>
        <v>19800</v>
      </c>
      <c r="F74" s="28">
        <v>2</v>
      </c>
      <c r="G74" s="27">
        <f t="shared" si="2"/>
        <v>39600</v>
      </c>
      <c r="H74" s="29">
        <v>0.5</v>
      </c>
      <c r="I74" s="27">
        <f t="shared" si="3"/>
        <v>19800</v>
      </c>
      <c r="J74" s="33"/>
      <c r="K74" s="34"/>
      <c r="L74" s="34"/>
      <c r="M74" s="34"/>
      <c r="N74" s="34"/>
      <c r="O74" s="34"/>
      <c r="P74" s="34"/>
      <c r="Q74" s="34"/>
      <c r="R74" s="34"/>
      <c r="S74" s="34"/>
    </row>
    <row r="75" spans="1:19">
      <c r="A75" s="25">
        <v>72</v>
      </c>
      <c r="B75" s="25" t="s">
        <v>23</v>
      </c>
      <c r="C75" s="25" t="s">
        <v>230</v>
      </c>
      <c r="D75" s="25" t="s">
        <v>338</v>
      </c>
      <c r="E75" s="27">
        <f>39900/12*9</f>
        <v>29925</v>
      </c>
      <c r="F75" s="28">
        <v>1</v>
      </c>
      <c r="G75" s="27">
        <f t="shared" si="2"/>
        <v>29925</v>
      </c>
      <c r="H75" s="29">
        <v>0.5</v>
      </c>
      <c r="I75" s="27">
        <f t="shared" si="3"/>
        <v>14900</v>
      </c>
      <c r="J75" s="33"/>
      <c r="K75" s="34"/>
      <c r="L75" s="34"/>
      <c r="M75" s="34"/>
      <c r="N75" s="34"/>
      <c r="O75" s="34"/>
      <c r="P75" s="34"/>
      <c r="Q75" s="34"/>
      <c r="R75" s="34"/>
      <c r="S75" s="34"/>
    </row>
    <row r="76" spans="1:19">
      <c r="A76" s="25">
        <v>73</v>
      </c>
      <c r="B76" s="25" t="s">
        <v>13</v>
      </c>
      <c r="C76" s="25" t="s">
        <v>369</v>
      </c>
      <c r="D76" s="25" t="s">
        <v>338</v>
      </c>
      <c r="E76" s="27">
        <f>48000/36*9</f>
        <v>12000</v>
      </c>
      <c r="F76" s="28">
        <v>2</v>
      </c>
      <c r="G76" s="27">
        <f t="shared" si="2"/>
        <v>24000</v>
      </c>
      <c r="H76" s="29">
        <v>0.5</v>
      </c>
      <c r="I76" s="27">
        <f t="shared" si="3"/>
        <v>12000</v>
      </c>
      <c r="J76" s="33"/>
      <c r="K76" s="34"/>
      <c r="L76" s="34"/>
      <c r="M76" s="34"/>
      <c r="N76" s="34"/>
      <c r="O76" s="34"/>
      <c r="P76" s="34"/>
      <c r="Q76" s="34"/>
      <c r="R76" s="34"/>
      <c r="S76" s="34"/>
    </row>
    <row r="77" spans="1:19">
      <c r="A77" s="25">
        <v>74</v>
      </c>
      <c r="B77" s="25" t="s">
        <v>25</v>
      </c>
      <c r="C77" s="25" t="s">
        <v>370</v>
      </c>
      <c r="D77" s="25" t="s">
        <v>338</v>
      </c>
      <c r="E77" s="27">
        <f>33900/12*9</f>
        <v>25425</v>
      </c>
      <c r="F77" s="28">
        <v>1</v>
      </c>
      <c r="G77" s="27">
        <f t="shared" si="2"/>
        <v>25425</v>
      </c>
      <c r="H77" s="29">
        <v>0.5</v>
      </c>
      <c r="I77" s="27">
        <f t="shared" si="3"/>
        <v>12700</v>
      </c>
      <c r="J77" s="33"/>
      <c r="K77" s="34"/>
      <c r="L77" s="34"/>
      <c r="M77" s="34"/>
      <c r="N77" s="34"/>
      <c r="O77" s="34"/>
      <c r="P77" s="34"/>
      <c r="Q77" s="34"/>
      <c r="R77" s="34"/>
      <c r="S77" s="34"/>
    </row>
    <row r="78" spans="1:19">
      <c r="A78" s="25">
        <v>75</v>
      </c>
      <c r="B78" s="25" t="s">
        <v>25</v>
      </c>
      <c r="C78" s="25" t="s">
        <v>370</v>
      </c>
      <c r="D78" s="25" t="s">
        <v>131</v>
      </c>
      <c r="E78" s="27">
        <f>19800</f>
        <v>19800</v>
      </c>
      <c r="F78" s="28">
        <v>1</v>
      </c>
      <c r="G78" s="27">
        <f t="shared" si="2"/>
        <v>19800</v>
      </c>
      <c r="H78" s="29">
        <v>0.5</v>
      </c>
      <c r="I78" s="27">
        <f t="shared" si="3"/>
        <v>9900</v>
      </c>
      <c r="J78" s="33"/>
      <c r="K78" s="34"/>
      <c r="L78" s="34"/>
      <c r="M78" s="34"/>
      <c r="N78" s="34"/>
      <c r="O78" s="34"/>
      <c r="P78" s="34"/>
      <c r="Q78" s="34"/>
      <c r="R78" s="34"/>
      <c r="S78" s="34"/>
    </row>
    <row r="79" spans="1:19">
      <c r="A79" s="25">
        <v>76</v>
      </c>
      <c r="B79" s="25" t="s">
        <v>13</v>
      </c>
      <c r="C79" s="25" t="s">
        <v>178</v>
      </c>
      <c r="D79" s="25" t="s">
        <v>338</v>
      </c>
      <c r="E79" s="27">
        <f>33900/12*9</f>
        <v>25425</v>
      </c>
      <c r="F79" s="28">
        <v>1</v>
      </c>
      <c r="G79" s="27">
        <f t="shared" si="2"/>
        <v>25425</v>
      </c>
      <c r="H79" s="29">
        <v>0.5</v>
      </c>
      <c r="I79" s="27">
        <f t="shared" si="3"/>
        <v>12700</v>
      </c>
      <c r="J79" s="33"/>
      <c r="K79" s="34"/>
      <c r="L79" s="34"/>
      <c r="M79" s="34"/>
      <c r="N79" s="34"/>
      <c r="O79" s="34"/>
      <c r="P79" s="34"/>
      <c r="Q79" s="34"/>
      <c r="R79" s="34"/>
      <c r="S79" s="34"/>
    </row>
    <row r="80" spans="1:19">
      <c r="A80" s="25">
        <v>77</v>
      </c>
      <c r="B80" s="25" t="s">
        <v>13</v>
      </c>
      <c r="C80" s="25" t="s">
        <v>128</v>
      </c>
      <c r="D80" s="25" t="s">
        <v>20</v>
      </c>
      <c r="E80" s="27">
        <f>12000+(12000*6%)</f>
        <v>12720</v>
      </c>
      <c r="F80" s="28">
        <v>2</v>
      </c>
      <c r="G80" s="27">
        <f t="shared" si="2"/>
        <v>25440</v>
      </c>
      <c r="H80" s="29">
        <v>0.5</v>
      </c>
      <c r="I80" s="27">
        <f t="shared" si="3"/>
        <v>12700</v>
      </c>
      <c r="J80" s="33"/>
      <c r="K80" s="34"/>
      <c r="L80" s="34"/>
      <c r="M80" s="34"/>
      <c r="N80" s="34"/>
      <c r="O80" s="34"/>
      <c r="P80" s="34"/>
      <c r="Q80" s="34"/>
      <c r="R80" s="34"/>
      <c r="S80" s="34"/>
    </row>
    <row r="81" spans="1:19">
      <c r="A81" s="25">
        <v>78</v>
      </c>
      <c r="B81" s="25" t="s">
        <v>23</v>
      </c>
      <c r="C81" s="25" t="s">
        <v>132</v>
      </c>
      <c r="D81" s="25" t="s">
        <v>338</v>
      </c>
      <c r="E81" s="27">
        <f>66300/24*9</f>
        <v>24862.5</v>
      </c>
      <c r="F81" s="28">
        <v>2</v>
      </c>
      <c r="G81" s="27">
        <f t="shared" si="2"/>
        <v>49725</v>
      </c>
      <c r="H81" s="29">
        <v>0.5</v>
      </c>
      <c r="I81" s="27">
        <f t="shared" si="3"/>
        <v>24800</v>
      </c>
      <c r="J81" s="33"/>
      <c r="K81" s="34"/>
      <c r="L81" s="34"/>
      <c r="M81" s="34"/>
      <c r="N81" s="34"/>
      <c r="O81" s="34"/>
      <c r="P81" s="34"/>
      <c r="Q81" s="34"/>
      <c r="R81" s="34"/>
      <c r="S81" s="34"/>
    </row>
    <row r="82" spans="1:19">
      <c r="A82" s="25">
        <v>79</v>
      </c>
      <c r="B82" s="25" t="s">
        <v>28</v>
      </c>
      <c r="C82" s="25" t="s">
        <v>371</v>
      </c>
      <c r="D82" s="25" t="s">
        <v>15</v>
      </c>
      <c r="E82" s="27">
        <f>20000/2</f>
        <v>10000</v>
      </c>
      <c r="F82" s="28">
        <v>2</v>
      </c>
      <c r="G82" s="27">
        <f t="shared" si="2"/>
        <v>20000</v>
      </c>
      <c r="H82" s="29">
        <v>0.5</v>
      </c>
      <c r="I82" s="27">
        <f t="shared" si="3"/>
        <v>10000</v>
      </c>
      <c r="J82" s="33"/>
      <c r="K82" s="34"/>
      <c r="L82" s="34"/>
      <c r="M82" s="34"/>
      <c r="N82" s="34"/>
      <c r="O82" s="34"/>
      <c r="P82" s="34"/>
      <c r="Q82" s="34"/>
      <c r="R82" s="34"/>
      <c r="S82" s="34"/>
    </row>
    <row r="83" ht="10" customHeight="true" spans="1:19">
      <c r="A83" s="25">
        <v>80</v>
      </c>
      <c r="B83" s="25" t="s">
        <v>28</v>
      </c>
      <c r="C83" s="25" t="s">
        <v>372</v>
      </c>
      <c r="D83" s="25" t="s">
        <v>15</v>
      </c>
      <c r="E83" s="27">
        <f>56400/6</f>
        <v>9400</v>
      </c>
      <c r="F83" s="28">
        <v>2</v>
      </c>
      <c r="G83" s="27">
        <f t="shared" si="2"/>
        <v>18800</v>
      </c>
      <c r="H83" s="29">
        <v>0.5</v>
      </c>
      <c r="I83" s="27">
        <f t="shared" si="3"/>
        <v>9400</v>
      </c>
      <c r="J83" s="33"/>
      <c r="K83" s="34"/>
      <c r="L83" s="34"/>
      <c r="M83" s="34"/>
      <c r="N83" s="34"/>
      <c r="O83" s="34"/>
      <c r="P83" s="34"/>
      <c r="Q83" s="34"/>
      <c r="R83" s="34"/>
      <c r="S83" s="34"/>
    </row>
    <row r="84" ht="24" spans="1:19">
      <c r="A84" s="25">
        <v>81</v>
      </c>
      <c r="B84" s="25" t="s">
        <v>18</v>
      </c>
      <c r="C84" s="25" t="s">
        <v>133</v>
      </c>
      <c r="D84" s="25" t="s">
        <v>20</v>
      </c>
      <c r="E84" s="27">
        <f>12000+(12000*6%)</f>
        <v>12720</v>
      </c>
      <c r="F84" s="28">
        <v>1</v>
      </c>
      <c r="G84" s="27">
        <f t="shared" si="2"/>
        <v>12720</v>
      </c>
      <c r="H84" s="29">
        <v>0.5</v>
      </c>
      <c r="I84" s="27">
        <f t="shared" si="3"/>
        <v>6300</v>
      </c>
      <c r="J84" s="37" t="s">
        <v>373</v>
      </c>
      <c r="K84" s="34"/>
      <c r="L84" s="34"/>
      <c r="M84" s="34"/>
      <c r="N84" s="34"/>
      <c r="O84" s="34"/>
      <c r="P84" s="34"/>
      <c r="Q84" s="34"/>
      <c r="R84" s="34"/>
      <c r="S84" s="34"/>
    </row>
    <row r="85" spans="1:19">
      <c r="A85" s="25">
        <v>82</v>
      </c>
      <c r="B85" s="25" t="s">
        <v>28</v>
      </c>
      <c r="C85" s="25" t="s">
        <v>325</v>
      </c>
      <c r="D85" s="25" t="s">
        <v>301</v>
      </c>
      <c r="E85" s="27">
        <f>81600/108*9</f>
        <v>6800</v>
      </c>
      <c r="F85" s="28">
        <v>2</v>
      </c>
      <c r="G85" s="27">
        <f t="shared" si="2"/>
        <v>13600</v>
      </c>
      <c r="H85" s="29">
        <v>0.5</v>
      </c>
      <c r="I85" s="27">
        <f t="shared" si="3"/>
        <v>6800</v>
      </c>
      <c r="J85" s="25"/>
      <c r="K85" s="34"/>
      <c r="L85" s="34"/>
      <c r="M85" s="34"/>
      <c r="N85" s="34"/>
      <c r="O85" s="34"/>
      <c r="P85" s="34"/>
      <c r="Q85" s="34"/>
      <c r="R85" s="34"/>
      <c r="S85" s="34"/>
    </row>
    <row r="86" spans="1:19">
      <c r="A86" s="25">
        <v>83</v>
      </c>
      <c r="B86" s="25" t="s">
        <v>13</v>
      </c>
      <c r="C86" s="25" t="s">
        <v>374</v>
      </c>
      <c r="D86" s="25" t="s">
        <v>347</v>
      </c>
      <c r="E86" s="27">
        <f>100000/50*9</f>
        <v>18000</v>
      </c>
      <c r="F86" s="28">
        <v>2</v>
      </c>
      <c r="G86" s="27">
        <f t="shared" si="2"/>
        <v>36000</v>
      </c>
      <c r="H86" s="29">
        <v>0.5</v>
      </c>
      <c r="I86" s="27">
        <f t="shared" si="3"/>
        <v>18000</v>
      </c>
      <c r="J86" s="25"/>
      <c r="K86" s="34"/>
      <c r="L86" s="34"/>
      <c r="M86" s="34"/>
      <c r="N86" s="34"/>
      <c r="O86" s="34"/>
      <c r="P86" s="34"/>
      <c r="Q86" s="34"/>
      <c r="R86" s="34"/>
      <c r="S86" s="34"/>
    </row>
    <row r="87" spans="1:19">
      <c r="A87" s="25">
        <v>84</v>
      </c>
      <c r="B87" s="25" t="s">
        <v>13</v>
      </c>
      <c r="C87" s="25" t="s">
        <v>14</v>
      </c>
      <c r="D87" s="25" t="s">
        <v>15</v>
      </c>
      <c r="E87" s="27">
        <f>338688/216*9</f>
        <v>14112</v>
      </c>
      <c r="F87" s="28">
        <v>2</v>
      </c>
      <c r="G87" s="27">
        <f t="shared" si="2"/>
        <v>28224</v>
      </c>
      <c r="H87" s="29">
        <v>0.5</v>
      </c>
      <c r="I87" s="27">
        <f t="shared" si="3"/>
        <v>14100</v>
      </c>
      <c r="J87" s="25"/>
      <c r="K87" s="34"/>
      <c r="L87" s="34"/>
      <c r="M87" s="34"/>
      <c r="N87" s="34"/>
      <c r="O87" s="34"/>
      <c r="P87" s="34"/>
      <c r="Q87" s="34"/>
      <c r="R87" s="34"/>
      <c r="S87" s="34"/>
    </row>
    <row r="88" ht="24" spans="1:19">
      <c r="A88" s="25">
        <v>85</v>
      </c>
      <c r="B88" s="25" t="s">
        <v>18</v>
      </c>
      <c r="C88" s="25" t="s">
        <v>287</v>
      </c>
      <c r="D88" s="25" t="s">
        <v>20</v>
      </c>
      <c r="E88" s="27">
        <f>12000+(12000*6%)</f>
        <v>12720</v>
      </c>
      <c r="F88" s="28">
        <v>2</v>
      </c>
      <c r="G88" s="27">
        <f t="shared" si="2"/>
        <v>25440</v>
      </c>
      <c r="H88" s="29">
        <v>0.5</v>
      </c>
      <c r="I88" s="27">
        <f t="shared" si="3"/>
        <v>12700</v>
      </c>
      <c r="J88" s="37" t="s">
        <v>375</v>
      </c>
      <c r="K88" s="34"/>
      <c r="L88" s="34"/>
      <c r="M88" s="34"/>
      <c r="N88" s="34"/>
      <c r="O88" s="34"/>
      <c r="P88" s="34"/>
      <c r="Q88" s="34"/>
      <c r="R88" s="34"/>
      <c r="S88" s="34"/>
    </row>
    <row r="89" ht="21" customHeight="true" spans="1:19">
      <c r="A89" s="25">
        <v>86</v>
      </c>
      <c r="B89" s="25" t="s">
        <v>28</v>
      </c>
      <c r="C89" s="25" t="s">
        <v>376</v>
      </c>
      <c r="D89" s="25" t="s">
        <v>301</v>
      </c>
      <c r="E89" s="27">
        <f>20900/27*9</f>
        <v>6966.66666666667</v>
      </c>
      <c r="F89" s="28">
        <v>2</v>
      </c>
      <c r="G89" s="27">
        <f t="shared" si="2"/>
        <v>13933.3333333333</v>
      </c>
      <c r="H89" s="29">
        <v>0.5</v>
      </c>
      <c r="I89" s="27">
        <f t="shared" si="3"/>
        <v>6900</v>
      </c>
      <c r="J89" s="33"/>
      <c r="K89" s="34"/>
      <c r="L89" s="34"/>
      <c r="M89" s="34"/>
      <c r="N89" s="34"/>
      <c r="O89" s="34"/>
      <c r="P89" s="34"/>
      <c r="Q89" s="34"/>
      <c r="R89" s="34"/>
      <c r="S89" s="34"/>
    </row>
    <row r="90" spans="1:19">
      <c r="A90" s="25">
        <v>87</v>
      </c>
      <c r="B90" s="25" t="s">
        <v>28</v>
      </c>
      <c r="C90" s="25" t="s">
        <v>300</v>
      </c>
      <c r="D90" s="25" t="s">
        <v>301</v>
      </c>
      <c r="E90" s="27">
        <f>82600/36*9</f>
        <v>20650</v>
      </c>
      <c r="F90" s="28">
        <v>2</v>
      </c>
      <c r="G90" s="27">
        <f t="shared" si="2"/>
        <v>41300</v>
      </c>
      <c r="H90" s="29">
        <v>0.5</v>
      </c>
      <c r="I90" s="27">
        <f t="shared" si="3"/>
        <v>20600</v>
      </c>
      <c r="J90" s="33"/>
      <c r="K90" s="34"/>
      <c r="L90" s="34"/>
      <c r="M90" s="34"/>
      <c r="N90" s="34"/>
      <c r="O90" s="34"/>
      <c r="P90" s="34"/>
      <c r="Q90" s="34"/>
      <c r="R90" s="34"/>
      <c r="S90" s="34"/>
    </row>
    <row r="91" spans="1:19">
      <c r="A91" s="25">
        <v>88</v>
      </c>
      <c r="B91" s="25" t="s">
        <v>25</v>
      </c>
      <c r="C91" s="25" t="s">
        <v>377</v>
      </c>
      <c r="D91" s="25" t="s">
        <v>30</v>
      </c>
      <c r="E91" s="27">
        <f>16800</f>
        <v>16800</v>
      </c>
      <c r="F91" s="28">
        <v>1</v>
      </c>
      <c r="G91" s="27">
        <f t="shared" si="2"/>
        <v>16800</v>
      </c>
      <c r="H91" s="29">
        <v>0.5</v>
      </c>
      <c r="I91" s="27">
        <f t="shared" si="3"/>
        <v>8400</v>
      </c>
      <c r="J91" s="33"/>
      <c r="K91" s="34"/>
      <c r="L91" s="34"/>
      <c r="M91" s="34"/>
      <c r="N91" s="34"/>
      <c r="O91" s="34"/>
      <c r="P91" s="34"/>
      <c r="Q91" s="34"/>
      <c r="R91" s="34"/>
      <c r="S91" s="34"/>
    </row>
    <row r="92" spans="1:19">
      <c r="A92" s="25">
        <v>89</v>
      </c>
      <c r="B92" s="25" t="s">
        <v>25</v>
      </c>
      <c r="C92" s="25" t="s">
        <v>367</v>
      </c>
      <c r="D92" s="25" t="s">
        <v>15</v>
      </c>
      <c r="E92" s="27">
        <f>10682</f>
        <v>10682</v>
      </c>
      <c r="F92" s="28">
        <v>1</v>
      </c>
      <c r="G92" s="27">
        <f t="shared" si="2"/>
        <v>10682</v>
      </c>
      <c r="H92" s="29">
        <v>0.5</v>
      </c>
      <c r="I92" s="27">
        <f t="shared" si="3"/>
        <v>5300</v>
      </c>
      <c r="J92" s="33"/>
      <c r="K92" s="34"/>
      <c r="L92" s="34"/>
      <c r="M92" s="34"/>
      <c r="N92" s="34"/>
      <c r="O92" s="34"/>
      <c r="P92" s="34"/>
      <c r="Q92" s="34"/>
      <c r="R92" s="34"/>
      <c r="S92" s="34"/>
    </row>
    <row r="93" spans="1:19">
      <c r="A93" s="25">
        <v>90</v>
      </c>
      <c r="B93" s="25" t="s">
        <v>25</v>
      </c>
      <c r="C93" s="25" t="s">
        <v>378</v>
      </c>
      <c r="D93" s="25" t="s">
        <v>301</v>
      </c>
      <c r="E93" s="27">
        <f>6300</f>
        <v>6300</v>
      </c>
      <c r="F93" s="28">
        <v>1</v>
      </c>
      <c r="G93" s="27">
        <f t="shared" si="2"/>
        <v>6300</v>
      </c>
      <c r="H93" s="29">
        <v>0.5</v>
      </c>
      <c r="I93" s="27">
        <f t="shared" si="3"/>
        <v>3100</v>
      </c>
      <c r="J93" s="33"/>
      <c r="K93" s="34"/>
      <c r="L93" s="34"/>
      <c r="M93" s="34"/>
      <c r="N93" s="34"/>
      <c r="O93" s="34"/>
      <c r="P93" s="34"/>
      <c r="Q93" s="34"/>
      <c r="R93" s="34"/>
      <c r="S93" s="34"/>
    </row>
    <row r="94" spans="1:19">
      <c r="A94" s="25">
        <v>91</v>
      </c>
      <c r="B94" s="25" t="s">
        <v>28</v>
      </c>
      <c r="C94" s="25" t="s">
        <v>143</v>
      </c>
      <c r="D94" s="25" t="s">
        <v>15</v>
      </c>
      <c r="E94" s="27">
        <f>75200/8*9</f>
        <v>84600</v>
      </c>
      <c r="F94" s="28">
        <v>2</v>
      </c>
      <c r="G94" s="27">
        <f t="shared" si="2"/>
        <v>169200</v>
      </c>
      <c r="H94" s="29">
        <v>0.5</v>
      </c>
      <c r="I94" s="27">
        <f t="shared" si="3"/>
        <v>84600</v>
      </c>
      <c r="J94" s="33"/>
      <c r="K94" s="34"/>
      <c r="L94" s="34"/>
      <c r="M94" s="34"/>
      <c r="N94" s="34"/>
      <c r="O94" s="34"/>
      <c r="P94" s="34"/>
      <c r="Q94" s="34"/>
      <c r="R94" s="34"/>
      <c r="S94" s="34"/>
    </row>
    <row r="95" spans="1:19">
      <c r="A95" s="25">
        <v>92</v>
      </c>
      <c r="B95" s="25" t="s">
        <v>23</v>
      </c>
      <c r="C95" s="25" t="s">
        <v>379</v>
      </c>
      <c r="D95" s="25" t="s">
        <v>20</v>
      </c>
      <c r="E95" s="27">
        <f>12000+(12000*6%)</f>
        <v>12720</v>
      </c>
      <c r="F95" s="28">
        <v>2</v>
      </c>
      <c r="G95" s="27">
        <f t="shared" si="2"/>
        <v>25440</v>
      </c>
      <c r="H95" s="29">
        <v>0.5</v>
      </c>
      <c r="I95" s="27">
        <f t="shared" si="3"/>
        <v>12700</v>
      </c>
      <c r="J95" s="33"/>
      <c r="K95" s="34"/>
      <c r="L95" s="34"/>
      <c r="M95" s="34"/>
      <c r="N95" s="34"/>
      <c r="O95" s="34"/>
      <c r="P95" s="34"/>
      <c r="Q95" s="34"/>
      <c r="R95" s="34"/>
      <c r="S95" s="34"/>
    </row>
    <row r="96" spans="1:19">
      <c r="A96" s="25">
        <v>93</v>
      </c>
      <c r="B96" s="25" t="s">
        <v>28</v>
      </c>
      <c r="C96" s="25" t="s">
        <v>380</v>
      </c>
      <c r="D96" s="25" t="s">
        <v>15</v>
      </c>
      <c r="E96" s="27">
        <f>68400/36*9</f>
        <v>17100</v>
      </c>
      <c r="F96" s="28">
        <v>2</v>
      </c>
      <c r="G96" s="27">
        <f t="shared" si="2"/>
        <v>34200</v>
      </c>
      <c r="H96" s="29">
        <v>0.5</v>
      </c>
      <c r="I96" s="27">
        <f t="shared" si="3"/>
        <v>17100</v>
      </c>
      <c r="J96" s="33"/>
      <c r="K96" s="34"/>
      <c r="L96" s="34"/>
      <c r="M96" s="34"/>
      <c r="N96" s="34"/>
      <c r="O96" s="34"/>
      <c r="P96" s="34"/>
      <c r="Q96" s="34"/>
      <c r="R96" s="34"/>
      <c r="S96" s="34"/>
    </row>
    <row r="97" spans="1:19">
      <c r="A97" s="25">
        <v>94</v>
      </c>
      <c r="B97" s="25" t="s">
        <v>13</v>
      </c>
      <c r="C97" s="25" t="s">
        <v>381</v>
      </c>
      <c r="D97" s="25" t="s">
        <v>382</v>
      </c>
      <c r="E97" s="27">
        <f t="shared" ref="E97:E102" si="4">10000</f>
        <v>10000</v>
      </c>
      <c r="F97" s="28">
        <v>1</v>
      </c>
      <c r="G97" s="27">
        <f t="shared" si="2"/>
        <v>10000</v>
      </c>
      <c r="H97" s="29">
        <v>0.5</v>
      </c>
      <c r="I97" s="27">
        <f t="shared" si="3"/>
        <v>5000</v>
      </c>
      <c r="J97" s="33"/>
      <c r="K97" s="34"/>
      <c r="L97" s="34"/>
      <c r="M97" s="34"/>
      <c r="N97" s="34"/>
      <c r="O97" s="34"/>
      <c r="P97" s="34"/>
      <c r="Q97" s="34"/>
      <c r="R97" s="34"/>
      <c r="S97" s="34"/>
    </row>
    <row r="98" spans="1:19">
      <c r="A98" s="25">
        <v>95</v>
      </c>
      <c r="B98" s="25" t="s">
        <v>18</v>
      </c>
      <c r="C98" s="25" t="s">
        <v>383</v>
      </c>
      <c r="D98" s="25" t="s">
        <v>382</v>
      </c>
      <c r="E98" s="27">
        <f t="shared" si="4"/>
        <v>10000</v>
      </c>
      <c r="F98" s="28">
        <v>1</v>
      </c>
      <c r="G98" s="27">
        <f t="shared" si="2"/>
        <v>10000</v>
      </c>
      <c r="H98" s="29">
        <v>0.5</v>
      </c>
      <c r="I98" s="27">
        <f t="shared" si="3"/>
        <v>5000</v>
      </c>
      <c r="J98" s="33"/>
      <c r="K98" s="34"/>
      <c r="L98" s="34"/>
      <c r="M98" s="34"/>
      <c r="N98" s="34"/>
      <c r="O98" s="34"/>
      <c r="P98" s="34"/>
      <c r="Q98" s="34"/>
      <c r="R98" s="34"/>
      <c r="S98" s="34"/>
    </row>
    <row r="99" spans="1:19">
      <c r="A99" s="25">
        <v>96</v>
      </c>
      <c r="B99" s="25" t="s">
        <v>61</v>
      </c>
      <c r="C99" s="25" t="s">
        <v>384</v>
      </c>
      <c r="D99" s="25" t="s">
        <v>382</v>
      </c>
      <c r="E99" s="27">
        <f t="shared" si="4"/>
        <v>10000</v>
      </c>
      <c r="F99" s="28">
        <v>1</v>
      </c>
      <c r="G99" s="27">
        <f t="shared" si="2"/>
        <v>10000</v>
      </c>
      <c r="H99" s="29">
        <v>0.5</v>
      </c>
      <c r="I99" s="27">
        <f t="shared" si="3"/>
        <v>5000</v>
      </c>
      <c r="J99" s="33"/>
      <c r="K99" s="34"/>
      <c r="L99" s="34"/>
      <c r="M99" s="34"/>
      <c r="N99" s="34"/>
      <c r="O99" s="34"/>
      <c r="P99" s="34"/>
      <c r="Q99" s="34"/>
      <c r="R99" s="34"/>
      <c r="S99" s="34"/>
    </row>
    <row r="100" spans="1:19">
      <c r="A100" s="25">
        <v>97</v>
      </c>
      <c r="B100" s="25" t="s">
        <v>61</v>
      </c>
      <c r="C100" s="25" t="s">
        <v>385</v>
      </c>
      <c r="D100" s="25" t="s">
        <v>382</v>
      </c>
      <c r="E100" s="27">
        <f t="shared" si="4"/>
        <v>10000</v>
      </c>
      <c r="F100" s="28">
        <v>2</v>
      </c>
      <c r="G100" s="27">
        <f t="shared" si="2"/>
        <v>20000</v>
      </c>
      <c r="H100" s="29">
        <v>0.5</v>
      </c>
      <c r="I100" s="27">
        <f t="shared" si="3"/>
        <v>10000</v>
      </c>
      <c r="J100" s="33"/>
      <c r="K100" s="34"/>
      <c r="L100" s="34"/>
      <c r="M100" s="34"/>
      <c r="N100" s="34"/>
      <c r="O100" s="34"/>
      <c r="P100" s="34"/>
      <c r="Q100" s="34"/>
      <c r="R100" s="34"/>
      <c r="S100" s="34"/>
    </row>
    <row r="101" spans="1:19">
      <c r="A101" s="25">
        <v>98</v>
      </c>
      <c r="B101" s="25" t="s">
        <v>23</v>
      </c>
      <c r="C101" s="25" t="s">
        <v>386</v>
      </c>
      <c r="D101" s="25" t="s">
        <v>382</v>
      </c>
      <c r="E101" s="27">
        <f t="shared" si="4"/>
        <v>10000</v>
      </c>
      <c r="F101" s="28">
        <v>2</v>
      </c>
      <c r="G101" s="27">
        <f t="shared" si="2"/>
        <v>20000</v>
      </c>
      <c r="H101" s="29">
        <v>0.5</v>
      </c>
      <c r="I101" s="27">
        <f t="shared" si="3"/>
        <v>10000</v>
      </c>
      <c r="J101" s="33"/>
      <c r="K101" s="34"/>
      <c r="L101" s="34"/>
      <c r="M101" s="34"/>
      <c r="N101" s="34"/>
      <c r="O101" s="34"/>
      <c r="P101" s="34"/>
      <c r="Q101" s="34"/>
      <c r="R101" s="34"/>
      <c r="S101" s="34"/>
    </row>
    <row r="102" spans="1:19">
      <c r="A102" s="25">
        <v>99</v>
      </c>
      <c r="B102" s="25" t="s">
        <v>61</v>
      </c>
      <c r="C102" s="25" t="s">
        <v>387</v>
      </c>
      <c r="D102" s="25" t="s">
        <v>382</v>
      </c>
      <c r="E102" s="27">
        <f t="shared" si="4"/>
        <v>10000</v>
      </c>
      <c r="F102" s="28">
        <v>2</v>
      </c>
      <c r="G102" s="27">
        <f t="shared" si="2"/>
        <v>20000</v>
      </c>
      <c r="H102" s="29">
        <v>0.5</v>
      </c>
      <c r="I102" s="27">
        <f t="shared" si="3"/>
        <v>10000</v>
      </c>
      <c r="J102" s="33"/>
      <c r="K102" s="34"/>
      <c r="L102" s="34"/>
      <c r="M102" s="34"/>
      <c r="N102" s="34"/>
      <c r="O102" s="34"/>
      <c r="P102" s="34"/>
      <c r="Q102" s="34"/>
      <c r="R102" s="34"/>
      <c r="S102" s="34"/>
    </row>
    <row r="103" spans="1:19">
      <c r="A103" s="25">
        <v>100</v>
      </c>
      <c r="B103" s="25" t="s">
        <v>13</v>
      </c>
      <c r="C103" s="25" t="s">
        <v>173</v>
      </c>
      <c r="D103" s="25" t="s">
        <v>20</v>
      </c>
      <c r="E103" s="27">
        <f>167904/72*9</f>
        <v>20988</v>
      </c>
      <c r="F103" s="28">
        <v>2</v>
      </c>
      <c r="G103" s="27">
        <f t="shared" si="2"/>
        <v>41976</v>
      </c>
      <c r="H103" s="29">
        <v>0.5</v>
      </c>
      <c r="I103" s="27">
        <f t="shared" si="3"/>
        <v>20900</v>
      </c>
      <c r="J103" s="33"/>
      <c r="K103" s="34"/>
      <c r="L103" s="34"/>
      <c r="M103" s="34"/>
      <c r="N103" s="34"/>
      <c r="O103" s="34"/>
      <c r="P103" s="34"/>
      <c r="Q103" s="34"/>
      <c r="R103" s="34"/>
      <c r="S103" s="34"/>
    </row>
    <row r="104" spans="1:19">
      <c r="A104" s="25">
        <v>101</v>
      </c>
      <c r="B104" s="25" t="s">
        <v>16</v>
      </c>
      <c r="C104" s="25" t="s">
        <v>388</v>
      </c>
      <c r="D104" s="25" t="s">
        <v>15</v>
      </c>
      <c r="E104" s="27">
        <f>205200/108*9</f>
        <v>17100</v>
      </c>
      <c r="F104" s="28">
        <v>2</v>
      </c>
      <c r="G104" s="27">
        <f t="shared" si="2"/>
        <v>34200</v>
      </c>
      <c r="H104" s="29">
        <v>0.5</v>
      </c>
      <c r="I104" s="27">
        <f t="shared" si="3"/>
        <v>17100</v>
      </c>
      <c r="J104" s="33"/>
      <c r="K104" s="34"/>
      <c r="L104" s="34"/>
      <c r="M104" s="34"/>
      <c r="N104" s="34"/>
      <c r="O104" s="34"/>
      <c r="P104" s="34"/>
      <c r="Q104" s="34"/>
      <c r="R104" s="34"/>
      <c r="S104" s="34"/>
    </row>
    <row r="105" spans="1:19">
      <c r="A105" s="25">
        <v>102</v>
      </c>
      <c r="B105" s="25" t="s">
        <v>28</v>
      </c>
      <c r="C105" s="25" t="s">
        <v>118</v>
      </c>
      <c r="D105" s="25" t="s">
        <v>15</v>
      </c>
      <c r="E105" s="27">
        <f>94000/10</f>
        <v>9400</v>
      </c>
      <c r="F105" s="28">
        <v>2</v>
      </c>
      <c r="G105" s="27">
        <f t="shared" si="2"/>
        <v>18800</v>
      </c>
      <c r="H105" s="29">
        <v>0.5</v>
      </c>
      <c r="I105" s="27">
        <f t="shared" si="3"/>
        <v>9400</v>
      </c>
      <c r="J105" s="33"/>
      <c r="K105" s="34"/>
      <c r="L105" s="34"/>
      <c r="M105" s="34"/>
      <c r="N105" s="34"/>
      <c r="O105" s="34"/>
      <c r="P105" s="34"/>
      <c r="Q105" s="34"/>
      <c r="R105" s="34"/>
      <c r="S105" s="34"/>
    </row>
    <row r="106" spans="1:19">
      <c r="A106" s="25">
        <v>103</v>
      </c>
      <c r="B106" s="25" t="s">
        <v>67</v>
      </c>
      <c r="C106" s="25" t="s">
        <v>389</v>
      </c>
      <c r="D106" s="25" t="s">
        <v>44</v>
      </c>
      <c r="E106" s="27">
        <f>351900/225*9</f>
        <v>14076</v>
      </c>
      <c r="F106" s="28">
        <v>2</v>
      </c>
      <c r="G106" s="27">
        <f t="shared" si="2"/>
        <v>28152</v>
      </c>
      <c r="H106" s="29">
        <v>0.5</v>
      </c>
      <c r="I106" s="27">
        <f t="shared" si="3"/>
        <v>14000</v>
      </c>
      <c r="J106" s="33"/>
      <c r="K106" s="34"/>
      <c r="L106" s="34"/>
      <c r="M106" s="34"/>
      <c r="N106" s="34"/>
      <c r="O106" s="34"/>
      <c r="P106" s="34"/>
      <c r="Q106" s="34"/>
      <c r="R106" s="34"/>
      <c r="S106" s="34"/>
    </row>
    <row r="107" spans="1:19">
      <c r="A107" s="25">
        <v>104</v>
      </c>
      <c r="B107" s="25" t="s">
        <v>61</v>
      </c>
      <c r="C107" s="25" t="s">
        <v>79</v>
      </c>
      <c r="D107" s="25" t="s">
        <v>58</v>
      </c>
      <c r="E107" s="27">
        <f>21510</f>
        <v>21510</v>
      </c>
      <c r="F107" s="28">
        <v>1</v>
      </c>
      <c r="G107" s="27">
        <f t="shared" si="2"/>
        <v>21510</v>
      </c>
      <c r="H107" s="29">
        <v>0.5</v>
      </c>
      <c r="I107" s="27">
        <f t="shared" si="3"/>
        <v>10700</v>
      </c>
      <c r="J107" s="33"/>
      <c r="K107" s="34"/>
      <c r="L107" s="34"/>
      <c r="M107" s="34"/>
      <c r="N107" s="34"/>
      <c r="O107" s="34"/>
      <c r="P107" s="34"/>
      <c r="Q107" s="34"/>
      <c r="R107" s="34"/>
      <c r="S107" s="34"/>
    </row>
    <row r="108" spans="1:19">
      <c r="A108" s="25">
        <v>105</v>
      </c>
      <c r="B108" s="25" t="s">
        <v>59</v>
      </c>
      <c r="C108" s="25" t="s">
        <v>92</v>
      </c>
      <c r="D108" s="25" t="s">
        <v>30</v>
      </c>
      <c r="E108" s="27">
        <f>16800</f>
        <v>16800</v>
      </c>
      <c r="F108" s="28">
        <v>2</v>
      </c>
      <c r="G108" s="27">
        <f t="shared" si="2"/>
        <v>33600</v>
      </c>
      <c r="H108" s="29">
        <v>0.5</v>
      </c>
      <c r="I108" s="27">
        <f t="shared" si="3"/>
        <v>16800</v>
      </c>
      <c r="J108" s="33"/>
      <c r="K108" s="34"/>
      <c r="L108" s="34"/>
      <c r="M108" s="34"/>
      <c r="N108" s="34"/>
      <c r="O108" s="34"/>
      <c r="P108" s="34"/>
      <c r="Q108" s="34"/>
      <c r="R108" s="34"/>
      <c r="S108" s="34"/>
    </row>
    <row r="109" spans="1:19">
      <c r="A109" s="25">
        <v>106</v>
      </c>
      <c r="B109" s="25" t="s">
        <v>59</v>
      </c>
      <c r="C109" s="25" t="s">
        <v>93</v>
      </c>
      <c r="D109" s="25" t="s">
        <v>30</v>
      </c>
      <c r="E109" s="27">
        <f>16800</f>
        <v>16800</v>
      </c>
      <c r="F109" s="28">
        <v>2</v>
      </c>
      <c r="G109" s="27">
        <f t="shared" si="2"/>
        <v>33600</v>
      </c>
      <c r="H109" s="29">
        <v>0.5</v>
      </c>
      <c r="I109" s="27">
        <f t="shared" si="3"/>
        <v>16800</v>
      </c>
      <c r="J109" s="33"/>
      <c r="K109" s="34"/>
      <c r="L109" s="34"/>
      <c r="M109" s="34"/>
      <c r="N109" s="34"/>
      <c r="O109" s="34"/>
      <c r="P109" s="34"/>
      <c r="Q109" s="34"/>
      <c r="R109" s="34"/>
      <c r="S109" s="34"/>
    </row>
    <row r="110" spans="1:19">
      <c r="A110" s="25">
        <v>107</v>
      </c>
      <c r="B110" s="25" t="s">
        <v>18</v>
      </c>
      <c r="C110" s="25" t="s">
        <v>232</v>
      </c>
      <c r="D110" s="25" t="s">
        <v>20</v>
      </c>
      <c r="E110" s="27">
        <f>12000+(12000*6%)</f>
        <v>12720</v>
      </c>
      <c r="F110" s="28">
        <v>1</v>
      </c>
      <c r="G110" s="27">
        <f t="shared" si="2"/>
        <v>12720</v>
      </c>
      <c r="H110" s="29">
        <v>0.5</v>
      </c>
      <c r="I110" s="27">
        <f t="shared" si="3"/>
        <v>6300</v>
      </c>
      <c r="J110" s="33"/>
      <c r="K110" s="34"/>
      <c r="L110" s="34"/>
      <c r="M110" s="34"/>
      <c r="N110" s="34"/>
      <c r="O110" s="34"/>
      <c r="P110" s="34"/>
      <c r="Q110" s="34"/>
      <c r="R110" s="34"/>
      <c r="S110" s="34"/>
    </row>
    <row r="111" spans="1:19">
      <c r="A111" s="25">
        <v>108</v>
      </c>
      <c r="B111" s="25" t="s">
        <v>28</v>
      </c>
      <c r="C111" s="25" t="s">
        <v>390</v>
      </c>
      <c r="D111" s="25" t="s">
        <v>30</v>
      </c>
      <c r="E111" s="27">
        <f>16800</f>
        <v>16800</v>
      </c>
      <c r="F111" s="28">
        <v>1</v>
      </c>
      <c r="G111" s="27">
        <f t="shared" si="2"/>
        <v>16800</v>
      </c>
      <c r="H111" s="29">
        <v>0.5</v>
      </c>
      <c r="I111" s="27">
        <f t="shared" si="3"/>
        <v>8400</v>
      </c>
      <c r="J111" s="33"/>
      <c r="K111" s="34"/>
      <c r="L111" s="34"/>
      <c r="M111" s="34"/>
      <c r="N111" s="34"/>
      <c r="O111" s="34"/>
      <c r="P111" s="34"/>
      <c r="Q111" s="34"/>
      <c r="R111" s="34"/>
      <c r="S111" s="34"/>
    </row>
    <row r="112" spans="1:19">
      <c r="A112" s="25">
        <v>109</v>
      </c>
      <c r="B112" s="25" t="s">
        <v>28</v>
      </c>
      <c r="C112" s="25" t="s">
        <v>390</v>
      </c>
      <c r="D112" s="25" t="s">
        <v>44</v>
      </c>
      <c r="E112" s="27">
        <f>28800/18*9</f>
        <v>14400</v>
      </c>
      <c r="F112" s="28">
        <v>2</v>
      </c>
      <c r="G112" s="27">
        <f t="shared" si="2"/>
        <v>28800</v>
      </c>
      <c r="H112" s="29">
        <v>0.5</v>
      </c>
      <c r="I112" s="27">
        <f t="shared" si="3"/>
        <v>14400</v>
      </c>
      <c r="J112" s="33"/>
      <c r="K112" s="34"/>
      <c r="L112" s="34"/>
      <c r="M112" s="34"/>
      <c r="N112" s="34"/>
      <c r="O112" s="34"/>
      <c r="P112" s="34"/>
      <c r="Q112" s="34"/>
      <c r="R112" s="34"/>
      <c r="S112" s="34"/>
    </row>
    <row r="113" spans="1:19">
      <c r="A113" s="25">
        <v>110</v>
      </c>
      <c r="B113" s="25" t="s">
        <v>13</v>
      </c>
      <c r="C113" s="25" t="s">
        <v>89</v>
      </c>
      <c r="D113" s="25" t="s">
        <v>20</v>
      </c>
      <c r="E113" s="27">
        <f>12000+(12000*6%)</f>
        <v>12720</v>
      </c>
      <c r="F113" s="28">
        <v>1</v>
      </c>
      <c r="G113" s="27">
        <f t="shared" si="2"/>
        <v>12720</v>
      </c>
      <c r="H113" s="29">
        <v>0.5</v>
      </c>
      <c r="I113" s="27">
        <f t="shared" si="3"/>
        <v>6300</v>
      </c>
      <c r="J113" s="33"/>
      <c r="K113" s="34"/>
      <c r="L113" s="34"/>
      <c r="M113" s="34"/>
      <c r="N113" s="34"/>
      <c r="O113" s="34"/>
      <c r="P113" s="34"/>
      <c r="Q113" s="34"/>
      <c r="R113" s="34"/>
      <c r="S113" s="34"/>
    </row>
    <row r="114" spans="1:19">
      <c r="A114" s="25">
        <v>111</v>
      </c>
      <c r="B114" s="25" t="s">
        <v>21</v>
      </c>
      <c r="C114" s="25" t="s">
        <v>292</v>
      </c>
      <c r="D114" s="25" t="s">
        <v>20</v>
      </c>
      <c r="E114" s="27">
        <f>12000+(12000*6%)</f>
        <v>12720</v>
      </c>
      <c r="F114" s="28">
        <v>1</v>
      </c>
      <c r="G114" s="27">
        <f t="shared" si="2"/>
        <v>12720</v>
      </c>
      <c r="H114" s="29">
        <v>0.5</v>
      </c>
      <c r="I114" s="27">
        <f t="shared" si="3"/>
        <v>6300</v>
      </c>
      <c r="J114" s="33"/>
      <c r="K114" s="34"/>
      <c r="L114" s="34"/>
      <c r="M114" s="34"/>
      <c r="N114" s="34"/>
      <c r="O114" s="34"/>
      <c r="P114" s="34"/>
      <c r="Q114" s="34"/>
      <c r="R114" s="34"/>
      <c r="S114" s="34"/>
    </row>
    <row r="115" spans="1:19">
      <c r="A115" s="25">
        <v>112</v>
      </c>
      <c r="B115" s="25" t="s">
        <v>23</v>
      </c>
      <c r="C115" s="25" t="s">
        <v>167</v>
      </c>
      <c r="D115" s="25" t="s">
        <v>20</v>
      </c>
      <c r="E115" s="27">
        <f>83952/36*9</f>
        <v>20988</v>
      </c>
      <c r="F115" s="28">
        <v>2</v>
      </c>
      <c r="G115" s="27">
        <f t="shared" si="2"/>
        <v>41976</v>
      </c>
      <c r="H115" s="29">
        <v>0.5</v>
      </c>
      <c r="I115" s="27">
        <f t="shared" si="3"/>
        <v>20900</v>
      </c>
      <c r="J115" s="33"/>
      <c r="K115" s="34"/>
      <c r="L115" s="34"/>
      <c r="M115" s="34"/>
      <c r="N115" s="34"/>
      <c r="O115" s="34"/>
      <c r="P115" s="34"/>
      <c r="Q115" s="34"/>
      <c r="R115" s="34"/>
      <c r="S115" s="34"/>
    </row>
    <row r="116" ht="10" customHeight="true" spans="1:19">
      <c r="A116" s="25">
        <v>113</v>
      </c>
      <c r="B116" s="25" t="s">
        <v>23</v>
      </c>
      <c r="C116" s="25" t="s">
        <v>391</v>
      </c>
      <c r="D116" s="25" t="s">
        <v>382</v>
      </c>
      <c r="E116" s="27">
        <f>18000/18*9</f>
        <v>9000</v>
      </c>
      <c r="F116" s="28">
        <v>2</v>
      </c>
      <c r="G116" s="27">
        <f t="shared" si="2"/>
        <v>18000</v>
      </c>
      <c r="H116" s="29">
        <v>0.5</v>
      </c>
      <c r="I116" s="27">
        <f t="shared" si="3"/>
        <v>9000</v>
      </c>
      <c r="J116" s="33"/>
      <c r="K116" s="34"/>
      <c r="L116" s="34"/>
      <c r="M116" s="34"/>
      <c r="N116" s="34"/>
      <c r="O116" s="34"/>
      <c r="P116" s="34"/>
      <c r="Q116" s="34"/>
      <c r="R116" s="34"/>
      <c r="S116" s="34"/>
    </row>
    <row r="117" spans="1:19">
      <c r="A117" s="25">
        <v>114</v>
      </c>
      <c r="B117" s="25" t="s">
        <v>13</v>
      </c>
      <c r="C117" s="25" t="s">
        <v>392</v>
      </c>
      <c r="D117" s="25" t="s">
        <v>382</v>
      </c>
      <c r="E117" s="27">
        <f>18000/18*9</f>
        <v>9000</v>
      </c>
      <c r="F117" s="28">
        <v>2</v>
      </c>
      <c r="G117" s="27">
        <f t="shared" si="2"/>
        <v>18000</v>
      </c>
      <c r="H117" s="29">
        <v>0.5</v>
      </c>
      <c r="I117" s="27">
        <f t="shared" si="3"/>
        <v>9000</v>
      </c>
      <c r="J117" s="33"/>
      <c r="K117" s="34"/>
      <c r="L117" s="34"/>
      <c r="M117" s="34"/>
      <c r="N117" s="34"/>
      <c r="O117" s="34"/>
      <c r="P117" s="34"/>
      <c r="Q117" s="34"/>
      <c r="R117" s="34"/>
      <c r="S117" s="34"/>
    </row>
    <row r="118" spans="1:19">
      <c r="A118" s="25">
        <v>115</v>
      </c>
      <c r="B118" s="25" t="s">
        <v>28</v>
      </c>
      <c r="C118" s="25" t="s">
        <v>298</v>
      </c>
      <c r="D118" s="25" t="s">
        <v>44</v>
      </c>
      <c r="E118" s="27">
        <f>27360/18*9</f>
        <v>13680</v>
      </c>
      <c r="F118" s="28">
        <v>2</v>
      </c>
      <c r="G118" s="27">
        <f t="shared" si="2"/>
        <v>27360</v>
      </c>
      <c r="H118" s="29">
        <v>0.5</v>
      </c>
      <c r="I118" s="27">
        <f t="shared" si="3"/>
        <v>13600</v>
      </c>
      <c r="J118" s="33"/>
      <c r="K118" s="34"/>
      <c r="L118" s="34"/>
      <c r="M118" s="34"/>
      <c r="N118" s="34"/>
      <c r="O118" s="34"/>
      <c r="P118" s="34"/>
      <c r="Q118" s="34"/>
      <c r="R118" s="34"/>
      <c r="S118" s="34"/>
    </row>
    <row r="119" spans="1:19">
      <c r="A119" s="25">
        <v>116</v>
      </c>
      <c r="B119" s="25" t="s">
        <v>21</v>
      </c>
      <c r="C119" s="25" t="s">
        <v>185</v>
      </c>
      <c r="D119" s="25" t="s">
        <v>20</v>
      </c>
      <c r="E119" s="27">
        <f>12000+(12000*6%)</f>
        <v>12720</v>
      </c>
      <c r="F119" s="28">
        <v>2</v>
      </c>
      <c r="G119" s="27">
        <f t="shared" si="2"/>
        <v>25440</v>
      </c>
      <c r="H119" s="29">
        <v>0.5</v>
      </c>
      <c r="I119" s="27">
        <f t="shared" si="3"/>
        <v>12700</v>
      </c>
      <c r="J119" s="33"/>
      <c r="K119" s="34"/>
      <c r="L119" s="34"/>
      <c r="M119" s="34"/>
      <c r="N119" s="34"/>
      <c r="O119" s="34"/>
      <c r="P119" s="34"/>
      <c r="Q119" s="34"/>
      <c r="R119" s="34"/>
      <c r="S119" s="34"/>
    </row>
    <row r="120" spans="1:19">
      <c r="A120" s="25">
        <v>117</v>
      </c>
      <c r="B120" s="25" t="s">
        <v>28</v>
      </c>
      <c r="C120" s="25" t="s">
        <v>393</v>
      </c>
      <c r="D120" s="25" t="s">
        <v>44</v>
      </c>
      <c r="E120" s="27">
        <f>28000/18*9</f>
        <v>14000</v>
      </c>
      <c r="F120" s="28">
        <v>2</v>
      </c>
      <c r="G120" s="27">
        <f t="shared" si="2"/>
        <v>28000</v>
      </c>
      <c r="H120" s="29">
        <v>0.5</v>
      </c>
      <c r="I120" s="27">
        <f t="shared" si="3"/>
        <v>14000</v>
      </c>
      <c r="J120" s="33"/>
      <c r="K120" s="34"/>
      <c r="L120" s="34"/>
      <c r="M120" s="34"/>
      <c r="N120" s="34"/>
      <c r="O120" s="34"/>
      <c r="P120" s="34"/>
      <c r="Q120" s="34"/>
      <c r="R120" s="34"/>
      <c r="S120" s="34"/>
    </row>
    <row r="121" spans="1:19">
      <c r="A121" s="25">
        <v>118</v>
      </c>
      <c r="B121" s="25" t="s">
        <v>61</v>
      </c>
      <c r="C121" s="25" t="s">
        <v>394</v>
      </c>
      <c r="D121" s="25" t="s">
        <v>30</v>
      </c>
      <c r="E121" s="27">
        <f>16800</f>
        <v>16800</v>
      </c>
      <c r="F121" s="28">
        <v>2</v>
      </c>
      <c r="G121" s="27">
        <f t="shared" si="2"/>
        <v>33600</v>
      </c>
      <c r="H121" s="29">
        <v>0.5</v>
      </c>
      <c r="I121" s="27">
        <f t="shared" si="3"/>
        <v>16800</v>
      </c>
      <c r="J121" s="33"/>
      <c r="K121" s="34"/>
      <c r="L121" s="34"/>
      <c r="M121" s="34"/>
      <c r="N121" s="34"/>
      <c r="O121" s="34"/>
      <c r="P121" s="34"/>
      <c r="Q121" s="34"/>
      <c r="R121" s="34"/>
      <c r="S121" s="34"/>
    </row>
    <row r="122" spans="1:19">
      <c r="A122" s="25">
        <v>119</v>
      </c>
      <c r="B122" s="25" t="s">
        <v>13</v>
      </c>
      <c r="C122" s="25" t="s">
        <v>34</v>
      </c>
      <c r="D122" s="25" t="s">
        <v>20</v>
      </c>
      <c r="E122" s="27">
        <f>83952/36*9</f>
        <v>20988</v>
      </c>
      <c r="F122" s="28">
        <v>2</v>
      </c>
      <c r="G122" s="27">
        <f t="shared" si="2"/>
        <v>41976</v>
      </c>
      <c r="H122" s="29">
        <v>0.5</v>
      </c>
      <c r="I122" s="27">
        <f t="shared" si="3"/>
        <v>20900</v>
      </c>
      <c r="J122" s="33"/>
      <c r="K122" s="34"/>
      <c r="L122" s="34"/>
      <c r="M122" s="34"/>
      <c r="N122" s="34"/>
      <c r="O122" s="34"/>
      <c r="P122" s="34"/>
      <c r="Q122" s="34"/>
      <c r="R122" s="34"/>
      <c r="S122" s="34"/>
    </row>
    <row r="123" spans="1:19">
      <c r="A123" s="25">
        <v>120</v>
      </c>
      <c r="B123" s="25" t="s">
        <v>13</v>
      </c>
      <c r="C123" s="25" t="s">
        <v>56</v>
      </c>
      <c r="D123" s="25" t="s">
        <v>30</v>
      </c>
      <c r="E123" s="27">
        <f>16800</f>
        <v>16800</v>
      </c>
      <c r="F123" s="28">
        <v>2</v>
      </c>
      <c r="G123" s="27">
        <f t="shared" si="2"/>
        <v>33600</v>
      </c>
      <c r="H123" s="29">
        <v>0.5</v>
      </c>
      <c r="I123" s="27">
        <f t="shared" si="3"/>
        <v>16800</v>
      </c>
      <c r="J123" s="33"/>
      <c r="K123" s="34"/>
      <c r="L123" s="34"/>
      <c r="M123" s="34"/>
      <c r="N123" s="34"/>
      <c r="O123" s="34"/>
      <c r="P123" s="34"/>
      <c r="Q123" s="34"/>
      <c r="R123" s="34"/>
      <c r="S123" s="34"/>
    </row>
    <row r="124" spans="1:19">
      <c r="A124" s="25">
        <v>121</v>
      </c>
      <c r="B124" s="25" t="s">
        <v>21</v>
      </c>
      <c r="C124" s="25" t="s">
        <v>395</v>
      </c>
      <c r="D124" s="25" t="s">
        <v>20</v>
      </c>
      <c r="E124" s="27">
        <f>12000+(12000*6%)</f>
        <v>12720</v>
      </c>
      <c r="F124" s="28">
        <v>2</v>
      </c>
      <c r="G124" s="27">
        <f t="shared" si="2"/>
        <v>25440</v>
      </c>
      <c r="H124" s="29">
        <v>0.5</v>
      </c>
      <c r="I124" s="27">
        <f t="shared" si="3"/>
        <v>12700</v>
      </c>
      <c r="J124" s="33"/>
      <c r="K124" s="34"/>
      <c r="L124" s="34"/>
      <c r="M124" s="34"/>
      <c r="N124" s="34"/>
      <c r="O124" s="34"/>
      <c r="P124" s="34"/>
      <c r="Q124" s="34"/>
      <c r="R124" s="34"/>
      <c r="S124" s="34"/>
    </row>
    <row r="125" spans="1:19">
      <c r="A125" s="25">
        <v>122</v>
      </c>
      <c r="B125" s="25" t="s">
        <v>28</v>
      </c>
      <c r="C125" s="25" t="s">
        <v>324</v>
      </c>
      <c r="D125" s="25" t="s">
        <v>301</v>
      </c>
      <c r="E125" s="27">
        <f>27200/36*9</f>
        <v>6800</v>
      </c>
      <c r="F125" s="28">
        <v>2</v>
      </c>
      <c r="G125" s="27">
        <f t="shared" si="2"/>
        <v>13600</v>
      </c>
      <c r="H125" s="29">
        <v>0.5</v>
      </c>
      <c r="I125" s="27">
        <f t="shared" si="3"/>
        <v>6800</v>
      </c>
      <c r="J125" s="33"/>
      <c r="K125" s="34"/>
      <c r="L125" s="34"/>
      <c r="M125" s="34"/>
      <c r="N125" s="34"/>
      <c r="O125" s="34"/>
      <c r="P125" s="34"/>
      <c r="Q125" s="34"/>
      <c r="R125" s="34"/>
      <c r="S125" s="34"/>
    </row>
    <row r="126" spans="1:19">
      <c r="A126" s="25">
        <v>123</v>
      </c>
      <c r="B126" s="25" t="s">
        <v>28</v>
      </c>
      <c r="C126" s="25" t="s">
        <v>317</v>
      </c>
      <c r="D126" s="25" t="s">
        <v>301</v>
      </c>
      <c r="E126" s="27">
        <f>27200/36*9</f>
        <v>6800</v>
      </c>
      <c r="F126" s="28">
        <v>2</v>
      </c>
      <c r="G126" s="27">
        <f t="shared" si="2"/>
        <v>13600</v>
      </c>
      <c r="H126" s="29">
        <v>0.5</v>
      </c>
      <c r="I126" s="27">
        <f t="shared" si="3"/>
        <v>6800</v>
      </c>
      <c r="J126" s="33"/>
      <c r="K126" s="34"/>
      <c r="L126" s="34"/>
      <c r="M126" s="34"/>
      <c r="N126" s="34"/>
      <c r="O126" s="34"/>
      <c r="P126" s="34"/>
      <c r="Q126" s="34"/>
      <c r="R126" s="34"/>
      <c r="S126" s="34"/>
    </row>
    <row r="127" spans="1:19">
      <c r="A127" s="25">
        <v>124</v>
      </c>
      <c r="B127" s="25" t="s">
        <v>23</v>
      </c>
      <c r="C127" s="25" t="s">
        <v>282</v>
      </c>
      <c r="D127" s="25" t="s">
        <v>20</v>
      </c>
      <c r="E127" s="27">
        <f>15900</f>
        <v>15900</v>
      </c>
      <c r="F127" s="28">
        <v>1</v>
      </c>
      <c r="G127" s="27">
        <f t="shared" si="2"/>
        <v>15900</v>
      </c>
      <c r="H127" s="29">
        <v>0.5</v>
      </c>
      <c r="I127" s="27">
        <f t="shared" si="3"/>
        <v>7900</v>
      </c>
      <c r="J127" s="33"/>
      <c r="K127" s="34"/>
      <c r="L127" s="34"/>
      <c r="M127" s="34"/>
      <c r="N127" s="34"/>
      <c r="O127" s="34"/>
      <c r="P127" s="34"/>
      <c r="Q127" s="34"/>
      <c r="R127" s="34"/>
      <c r="S127" s="34"/>
    </row>
    <row r="128" spans="1:19">
      <c r="A128" s="25">
        <v>125</v>
      </c>
      <c r="B128" s="25" t="s">
        <v>13</v>
      </c>
      <c r="C128" s="25" t="s">
        <v>170</v>
      </c>
      <c r="D128" s="25" t="s">
        <v>20</v>
      </c>
      <c r="E128" s="27">
        <f>41976/18*9</f>
        <v>20988</v>
      </c>
      <c r="F128" s="28">
        <v>2</v>
      </c>
      <c r="G128" s="27">
        <f t="shared" si="2"/>
        <v>41976</v>
      </c>
      <c r="H128" s="29">
        <v>0.5</v>
      </c>
      <c r="I128" s="27">
        <f t="shared" si="3"/>
        <v>20900</v>
      </c>
      <c r="J128" s="33"/>
      <c r="K128" s="34"/>
      <c r="L128" s="34"/>
      <c r="M128" s="34"/>
      <c r="N128" s="34"/>
      <c r="O128" s="34"/>
      <c r="P128" s="34"/>
      <c r="Q128" s="34"/>
      <c r="R128" s="34"/>
      <c r="S128" s="34"/>
    </row>
    <row r="129" spans="1:19">
      <c r="A129" s="25">
        <v>126</v>
      </c>
      <c r="B129" s="25" t="s">
        <v>28</v>
      </c>
      <c r="C129" s="25" t="s">
        <v>193</v>
      </c>
      <c r="D129" s="25" t="s">
        <v>15</v>
      </c>
      <c r="E129" s="27">
        <f>56400/6</f>
        <v>9400</v>
      </c>
      <c r="F129" s="28">
        <v>2</v>
      </c>
      <c r="G129" s="27">
        <f t="shared" si="2"/>
        <v>18800</v>
      </c>
      <c r="H129" s="29">
        <v>0.5</v>
      </c>
      <c r="I129" s="27">
        <f t="shared" si="3"/>
        <v>9400</v>
      </c>
      <c r="J129" s="33"/>
      <c r="K129" s="34"/>
      <c r="L129" s="34"/>
      <c r="M129" s="34"/>
      <c r="N129" s="34"/>
      <c r="O129" s="34"/>
      <c r="P129" s="34"/>
      <c r="Q129" s="34"/>
      <c r="R129" s="34"/>
      <c r="S129" s="34"/>
    </row>
    <row r="130" spans="1:19">
      <c r="A130" s="25">
        <v>127</v>
      </c>
      <c r="B130" s="25" t="s">
        <v>23</v>
      </c>
      <c r="C130" s="25" t="s">
        <v>396</v>
      </c>
      <c r="D130" s="25" t="s">
        <v>382</v>
      </c>
      <c r="E130" s="27">
        <f>10000</f>
        <v>10000</v>
      </c>
      <c r="F130" s="28">
        <v>1</v>
      </c>
      <c r="G130" s="27">
        <f t="shared" si="2"/>
        <v>10000</v>
      </c>
      <c r="H130" s="29">
        <v>0.5</v>
      </c>
      <c r="I130" s="27">
        <f t="shared" si="3"/>
        <v>5000</v>
      </c>
      <c r="J130" s="33"/>
      <c r="K130" s="34"/>
      <c r="L130" s="34"/>
      <c r="M130" s="34"/>
      <c r="N130" s="34"/>
      <c r="O130" s="34"/>
      <c r="P130" s="34"/>
      <c r="Q130" s="34"/>
      <c r="R130" s="34"/>
      <c r="S130" s="34"/>
    </row>
    <row r="131" spans="1:19">
      <c r="A131" s="25">
        <v>128</v>
      </c>
      <c r="B131" s="25" t="s">
        <v>359</v>
      </c>
      <c r="C131" s="25" t="s">
        <v>87</v>
      </c>
      <c r="D131" s="25" t="s">
        <v>20</v>
      </c>
      <c r="E131" s="27">
        <f>12000+(12000*6%)</f>
        <v>12720</v>
      </c>
      <c r="F131" s="28">
        <v>2</v>
      </c>
      <c r="G131" s="27">
        <f t="shared" si="2"/>
        <v>25440</v>
      </c>
      <c r="H131" s="29">
        <v>0.5</v>
      </c>
      <c r="I131" s="27">
        <f t="shared" si="3"/>
        <v>12700</v>
      </c>
      <c r="J131" s="33"/>
      <c r="K131" s="34"/>
      <c r="L131" s="34"/>
      <c r="M131" s="34"/>
      <c r="N131" s="34"/>
      <c r="O131" s="34"/>
      <c r="P131" s="34"/>
      <c r="Q131" s="34"/>
      <c r="R131" s="34"/>
      <c r="S131" s="34"/>
    </row>
    <row r="132" ht="36" spans="1:19">
      <c r="A132" s="26">
        <v>129</v>
      </c>
      <c r="B132" s="26" t="s">
        <v>28</v>
      </c>
      <c r="C132" s="26" t="s">
        <v>328</v>
      </c>
      <c r="D132" s="26" t="s">
        <v>44</v>
      </c>
      <c r="E132" s="30">
        <f>(289800-10000)/225*9</f>
        <v>11192</v>
      </c>
      <c r="F132" s="31">
        <v>2</v>
      </c>
      <c r="G132" s="30">
        <f t="shared" ref="G132:G195" si="5">E132*F132</f>
        <v>22384</v>
      </c>
      <c r="H132" s="32">
        <v>0.5</v>
      </c>
      <c r="I132" s="30">
        <f t="shared" ref="I132:I195" si="6">ROUNDDOWN(G132*H132,-2)</f>
        <v>11100</v>
      </c>
      <c r="J132" s="38" t="s">
        <v>397</v>
      </c>
      <c r="K132" s="36"/>
      <c r="L132" s="36"/>
      <c r="M132" s="36"/>
      <c r="N132" s="36"/>
      <c r="O132" s="36"/>
      <c r="P132" s="36"/>
      <c r="Q132" s="36"/>
      <c r="R132" s="36"/>
      <c r="S132" s="36"/>
    </row>
    <row r="133" ht="48" spans="1:19">
      <c r="A133" s="26">
        <v>130</v>
      </c>
      <c r="B133" s="26" t="s">
        <v>28</v>
      </c>
      <c r="C133" s="26" t="s">
        <v>161</v>
      </c>
      <c r="D133" s="26" t="s">
        <v>15</v>
      </c>
      <c r="E133" s="30">
        <f>(83200-3000)/8</f>
        <v>10025</v>
      </c>
      <c r="F133" s="31">
        <v>2</v>
      </c>
      <c r="G133" s="30">
        <f t="shared" si="5"/>
        <v>20050</v>
      </c>
      <c r="H133" s="32">
        <v>0.5</v>
      </c>
      <c r="I133" s="30">
        <f t="shared" si="6"/>
        <v>10000</v>
      </c>
      <c r="J133" s="38" t="s">
        <v>398</v>
      </c>
      <c r="K133" s="36"/>
      <c r="L133" s="36"/>
      <c r="M133" s="36"/>
      <c r="N133" s="36"/>
      <c r="O133" s="36"/>
      <c r="P133" s="36"/>
      <c r="Q133" s="36"/>
      <c r="R133" s="36"/>
      <c r="S133" s="36"/>
    </row>
    <row r="134" spans="1:19">
      <c r="A134" s="25">
        <v>131</v>
      </c>
      <c r="B134" s="25" t="s">
        <v>13</v>
      </c>
      <c r="C134" s="25" t="s">
        <v>99</v>
      </c>
      <c r="D134" s="25" t="s">
        <v>20</v>
      </c>
      <c r="E134" s="27">
        <f>12000+(12000*6%)</f>
        <v>12720</v>
      </c>
      <c r="F134" s="28">
        <v>2</v>
      </c>
      <c r="G134" s="27">
        <f t="shared" si="5"/>
        <v>25440</v>
      </c>
      <c r="H134" s="29">
        <v>0.5</v>
      </c>
      <c r="I134" s="27">
        <f t="shared" si="6"/>
        <v>12700</v>
      </c>
      <c r="J134" s="33"/>
      <c r="K134" s="34"/>
      <c r="L134" s="34"/>
      <c r="M134" s="34"/>
      <c r="N134" s="34"/>
      <c r="O134" s="34"/>
      <c r="P134" s="34"/>
      <c r="Q134" s="34"/>
      <c r="R134" s="34"/>
      <c r="S134" s="34"/>
    </row>
    <row r="135" spans="1:19">
      <c r="A135" s="25">
        <v>132</v>
      </c>
      <c r="B135" s="25" t="s">
        <v>25</v>
      </c>
      <c r="C135" s="25" t="s">
        <v>331</v>
      </c>
      <c r="D135" s="25" t="s">
        <v>20</v>
      </c>
      <c r="E135" s="27">
        <f>12000+(12000*6%)</f>
        <v>12720</v>
      </c>
      <c r="F135" s="28">
        <v>1</v>
      </c>
      <c r="G135" s="27">
        <f t="shared" si="5"/>
        <v>12720</v>
      </c>
      <c r="H135" s="29">
        <v>0.5</v>
      </c>
      <c r="I135" s="27">
        <f t="shared" si="6"/>
        <v>6300</v>
      </c>
      <c r="J135" s="33"/>
      <c r="K135" s="34"/>
      <c r="L135" s="34"/>
      <c r="M135" s="34"/>
      <c r="N135" s="34"/>
      <c r="O135" s="34"/>
      <c r="P135" s="34"/>
      <c r="Q135" s="34"/>
      <c r="R135" s="34"/>
      <c r="S135" s="34"/>
    </row>
    <row r="136" spans="1:19">
      <c r="A136" s="25">
        <v>133</v>
      </c>
      <c r="B136" s="25" t="s">
        <v>13</v>
      </c>
      <c r="C136" s="25" t="s">
        <v>399</v>
      </c>
      <c r="D136" s="25" t="s">
        <v>58</v>
      </c>
      <c r="E136" s="27">
        <f>34020/18*9</f>
        <v>17010</v>
      </c>
      <c r="F136" s="28">
        <v>2</v>
      </c>
      <c r="G136" s="27">
        <f t="shared" si="5"/>
        <v>34020</v>
      </c>
      <c r="H136" s="29">
        <v>0.5</v>
      </c>
      <c r="I136" s="27">
        <f t="shared" si="6"/>
        <v>17000</v>
      </c>
      <c r="J136" s="33"/>
      <c r="K136" s="34"/>
      <c r="L136" s="34"/>
      <c r="M136" s="34"/>
      <c r="N136" s="34"/>
      <c r="O136" s="34"/>
      <c r="P136" s="34"/>
      <c r="Q136" s="34"/>
      <c r="R136" s="34"/>
      <c r="S136" s="34"/>
    </row>
    <row r="137" spans="1:19">
      <c r="A137" s="25">
        <v>134</v>
      </c>
      <c r="B137" s="25" t="s">
        <v>28</v>
      </c>
      <c r="C137" s="25" t="s">
        <v>95</v>
      </c>
      <c r="D137" s="25" t="s">
        <v>30</v>
      </c>
      <c r="E137" s="27">
        <f>16800</f>
        <v>16800</v>
      </c>
      <c r="F137" s="28">
        <v>2</v>
      </c>
      <c r="G137" s="27">
        <f t="shared" si="5"/>
        <v>33600</v>
      </c>
      <c r="H137" s="29">
        <v>0.5</v>
      </c>
      <c r="I137" s="27">
        <f t="shared" si="6"/>
        <v>16800</v>
      </c>
      <c r="J137" s="33"/>
      <c r="K137" s="34"/>
      <c r="L137" s="34"/>
      <c r="M137" s="34"/>
      <c r="N137" s="34"/>
      <c r="O137" s="34"/>
      <c r="P137" s="34"/>
      <c r="Q137" s="34"/>
      <c r="R137" s="34"/>
      <c r="S137" s="34"/>
    </row>
    <row r="138" spans="1:19">
      <c r="A138" s="25">
        <v>135</v>
      </c>
      <c r="B138" s="25" t="s">
        <v>28</v>
      </c>
      <c r="C138" s="25" t="s">
        <v>400</v>
      </c>
      <c r="D138" s="25" t="s">
        <v>30</v>
      </c>
      <c r="E138" s="27">
        <f>16800</f>
        <v>16800</v>
      </c>
      <c r="F138" s="28">
        <v>2</v>
      </c>
      <c r="G138" s="27">
        <f t="shared" si="5"/>
        <v>33600</v>
      </c>
      <c r="H138" s="29">
        <v>0.5</v>
      </c>
      <c r="I138" s="27">
        <f t="shared" si="6"/>
        <v>16800</v>
      </c>
      <c r="J138" s="33"/>
      <c r="K138" s="34"/>
      <c r="L138" s="34"/>
      <c r="M138" s="34"/>
      <c r="N138" s="34"/>
      <c r="O138" s="34"/>
      <c r="P138" s="34"/>
      <c r="Q138" s="34"/>
      <c r="R138" s="34"/>
      <c r="S138" s="34"/>
    </row>
    <row r="139" spans="1:19">
      <c r="A139" s="25">
        <v>136</v>
      </c>
      <c r="B139" s="25" t="s">
        <v>25</v>
      </c>
      <c r="C139" s="25" t="s">
        <v>401</v>
      </c>
      <c r="D139" s="25" t="s">
        <v>15</v>
      </c>
      <c r="E139" s="27">
        <f>288000/180*9</f>
        <v>14400</v>
      </c>
      <c r="F139" s="28">
        <v>2</v>
      </c>
      <c r="G139" s="27">
        <f t="shared" si="5"/>
        <v>28800</v>
      </c>
      <c r="H139" s="29">
        <v>0.5</v>
      </c>
      <c r="I139" s="27">
        <f t="shared" si="6"/>
        <v>14400</v>
      </c>
      <c r="J139" s="33"/>
      <c r="K139" s="34"/>
      <c r="L139" s="34"/>
      <c r="M139" s="34"/>
      <c r="N139" s="34"/>
      <c r="O139" s="34"/>
      <c r="P139" s="34"/>
      <c r="Q139" s="34"/>
      <c r="R139" s="34"/>
      <c r="S139" s="34"/>
    </row>
    <row r="140" spans="1:19">
      <c r="A140" s="25">
        <v>137</v>
      </c>
      <c r="B140" s="25" t="s">
        <v>28</v>
      </c>
      <c r="C140" s="25" t="s">
        <v>40</v>
      </c>
      <c r="D140" s="25" t="s">
        <v>15</v>
      </c>
      <c r="E140" s="27">
        <f>85500/45*9</f>
        <v>17100</v>
      </c>
      <c r="F140" s="28">
        <v>2</v>
      </c>
      <c r="G140" s="27">
        <f t="shared" si="5"/>
        <v>34200</v>
      </c>
      <c r="H140" s="29">
        <v>0.5</v>
      </c>
      <c r="I140" s="27">
        <f t="shared" si="6"/>
        <v>17100</v>
      </c>
      <c r="J140" s="33"/>
      <c r="K140" s="34"/>
      <c r="L140" s="34"/>
      <c r="M140" s="34"/>
      <c r="N140" s="34"/>
      <c r="O140" s="34"/>
      <c r="P140" s="34"/>
      <c r="Q140" s="34"/>
      <c r="R140" s="34"/>
      <c r="S140" s="34"/>
    </row>
    <row r="141" spans="1:19">
      <c r="A141" s="25">
        <v>138</v>
      </c>
      <c r="B141" s="25" t="s">
        <v>28</v>
      </c>
      <c r="C141" s="25" t="s">
        <v>402</v>
      </c>
      <c r="D141" s="25" t="s">
        <v>44</v>
      </c>
      <c r="E141" s="27">
        <f>18900/13.5*9</f>
        <v>12600</v>
      </c>
      <c r="F141" s="28">
        <v>1</v>
      </c>
      <c r="G141" s="27">
        <f t="shared" si="5"/>
        <v>12600</v>
      </c>
      <c r="H141" s="29">
        <v>0.5</v>
      </c>
      <c r="I141" s="27">
        <f t="shared" si="6"/>
        <v>6300</v>
      </c>
      <c r="J141" s="33"/>
      <c r="K141" s="34"/>
      <c r="L141" s="34"/>
      <c r="M141" s="34"/>
      <c r="N141" s="34"/>
      <c r="O141" s="34"/>
      <c r="P141" s="34"/>
      <c r="Q141" s="34"/>
      <c r="R141" s="34"/>
      <c r="S141" s="34"/>
    </row>
    <row r="142" spans="1:19">
      <c r="A142" s="25">
        <v>139</v>
      </c>
      <c r="B142" s="25" t="s">
        <v>28</v>
      </c>
      <c r="C142" s="25" t="s">
        <v>321</v>
      </c>
      <c r="D142" s="25" t="s">
        <v>44</v>
      </c>
      <c r="E142" s="27">
        <f>18900/13.5*9</f>
        <v>12600</v>
      </c>
      <c r="F142" s="28">
        <v>1</v>
      </c>
      <c r="G142" s="27">
        <f t="shared" si="5"/>
        <v>12600</v>
      </c>
      <c r="H142" s="29">
        <v>0.5</v>
      </c>
      <c r="I142" s="27">
        <f t="shared" si="6"/>
        <v>6300</v>
      </c>
      <c r="J142" s="33"/>
      <c r="K142" s="34"/>
      <c r="L142" s="34"/>
      <c r="M142" s="34"/>
      <c r="N142" s="34"/>
      <c r="O142" s="34"/>
      <c r="P142" s="34"/>
      <c r="Q142" s="34"/>
      <c r="R142" s="34"/>
      <c r="S142" s="34"/>
    </row>
    <row r="143" spans="1:19">
      <c r="A143" s="25">
        <v>140</v>
      </c>
      <c r="B143" s="25" t="s">
        <v>28</v>
      </c>
      <c r="C143" s="25" t="s">
        <v>297</v>
      </c>
      <c r="D143" s="25" t="s">
        <v>44</v>
      </c>
      <c r="E143" s="27">
        <f>21700/15.5*9</f>
        <v>12600</v>
      </c>
      <c r="F143" s="28">
        <v>1</v>
      </c>
      <c r="G143" s="27">
        <f t="shared" si="5"/>
        <v>12600</v>
      </c>
      <c r="H143" s="29">
        <v>0.5</v>
      </c>
      <c r="I143" s="27">
        <f t="shared" si="6"/>
        <v>6300</v>
      </c>
      <c r="J143" s="33"/>
      <c r="K143" s="34"/>
      <c r="L143" s="34"/>
      <c r="M143" s="34"/>
      <c r="N143" s="34"/>
      <c r="O143" s="34"/>
      <c r="P143" s="34"/>
      <c r="Q143" s="34"/>
      <c r="R143" s="34"/>
      <c r="S143" s="34"/>
    </row>
    <row r="144" spans="1:19">
      <c r="A144" s="25">
        <v>141</v>
      </c>
      <c r="B144" s="25" t="s">
        <v>13</v>
      </c>
      <c r="C144" s="25" t="s">
        <v>267</v>
      </c>
      <c r="D144" s="25" t="s">
        <v>44</v>
      </c>
      <c r="E144" s="27">
        <f>18900/13.5*9</f>
        <v>12600</v>
      </c>
      <c r="F144" s="28">
        <v>1</v>
      </c>
      <c r="G144" s="27">
        <f t="shared" si="5"/>
        <v>12600</v>
      </c>
      <c r="H144" s="29">
        <v>0.5</v>
      </c>
      <c r="I144" s="27">
        <f t="shared" si="6"/>
        <v>6300</v>
      </c>
      <c r="J144" s="33"/>
      <c r="K144" s="34"/>
      <c r="L144" s="34"/>
      <c r="M144" s="34"/>
      <c r="N144" s="34"/>
      <c r="O144" s="34"/>
      <c r="P144" s="34"/>
      <c r="Q144" s="34"/>
      <c r="R144" s="34"/>
      <c r="S144" s="34"/>
    </row>
    <row r="145" spans="1:19">
      <c r="A145" s="25">
        <v>142</v>
      </c>
      <c r="B145" s="25" t="s">
        <v>98</v>
      </c>
      <c r="C145" s="25" t="s">
        <v>403</v>
      </c>
      <c r="D145" s="25" t="s">
        <v>20</v>
      </c>
      <c r="E145" s="27">
        <f>12000+(12000*6%)</f>
        <v>12720</v>
      </c>
      <c r="F145" s="28">
        <v>1</v>
      </c>
      <c r="G145" s="27">
        <f t="shared" si="5"/>
        <v>12720</v>
      </c>
      <c r="H145" s="29">
        <v>0.5</v>
      </c>
      <c r="I145" s="27">
        <f t="shared" si="6"/>
        <v>6300</v>
      </c>
      <c r="J145" s="33"/>
      <c r="K145" s="34"/>
      <c r="L145" s="34"/>
      <c r="M145" s="34"/>
      <c r="N145" s="34"/>
      <c r="O145" s="34"/>
      <c r="P145" s="34"/>
      <c r="Q145" s="34"/>
      <c r="R145" s="34"/>
      <c r="S145" s="34"/>
    </row>
    <row r="146" spans="1:19">
      <c r="A146" s="25">
        <v>143</v>
      </c>
      <c r="B146" s="25" t="s">
        <v>13</v>
      </c>
      <c r="C146" s="25" t="s">
        <v>97</v>
      </c>
      <c r="D146" s="25" t="s">
        <v>20</v>
      </c>
      <c r="E146" s="27">
        <f>12000+(12000*6%)</f>
        <v>12720</v>
      </c>
      <c r="F146" s="28">
        <v>2</v>
      </c>
      <c r="G146" s="27">
        <f t="shared" si="5"/>
        <v>25440</v>
      </c>
      <c r="H146" s="29">
        <v>0.5</v>
      </c>
      <c r="I146" s="27">
        <f t="shared" si="6"/>
        <v>12700</v>
      </c>
      <c r="J146" s="33"/>
      <c r="K146" s="34"/>
      <c r="L146" s="34"/>
      <c r="M146" s="34"/>
      <c r="N146" s="34"/>
      <c r="O146" s="34"/>
      <c r="P146" s="34"/>
      <c r="Q146" s="34"/>
      <c r="R146" s="34"/>
      <c r="S146" s="34"/>
    </row>
    <row r="147" spans="1:19">
      <c r="A147" s="25">
        <v>144</v>
      </c>
      <c r="B147" s="25" t="s">
        <v>25</v>
      </c>
      <c r="C147" s="25" t="s">
        <v>26</v>
      </c>
      <c r="D147" s="25" t="s">
        <v>20</v>
      </c>
      <c r="E147" s="27">
        <f>12000+(12000*6%)</f>
        <v>12720</v>
      </c>
      <c r="F147" s="28">
        <v>2</v>
      </c>
      <c r="G147" s="27">
        <f t="shared" si="5"/>
        <v>25440</v>
      </c>
      <c r="H147" s="29">
        <v>0.5</v>
      </c>
      <c r="I147" s="27">
        <f t="shared" si="6"/>
        <v>12700</v>
      </c>
      <c r="J147" s="33"/>
      <c r="K147" s="34"/>
      <c r="L147" s="34"/>
      <c r="M147" s="34"/>
      <c r="N147" s="34"/>
      <c r="O147" s="34"/>
      <c r="P147" s="34"/>
      <c r="Q147" s="34"/>
      <c r="R147" s="34"/>
      <c r="S147" s="34"/>
    </row>
    <row r="148" spans="1:19">
      <c r="A148" s="26">
        <v>145</v>
      </c>
      <c r="B148" s="26" t="s">
        <v>98</v>
      </c>
      <c r="C148" s="26" t="s">
        <v>404</v>
      </c>
      <c r="D148" s="26" t="s">
        <v>15</v>
      </c>
      <c r="E148" s="30">
        <f>338688/216*9</f>
        <v>14112</v>
      </c>
      <c r="F148" s="31">
        <v>2</v>
      </c>
      <c r="G148" s="30">
        <f t="shared" si="5"/>
        <v>28224</v>
      </c>
      <c r="H148" s="32">
        <v>0.5</v>
      </c>
      <c r="I148" s="30">
        <f t="shared" si="6"/>
        <v>14100</v>
      </c>
      <c r="J148" s="35"/>
      <c r="K148" s="36"/>
      <c r="L148" s="36"/>
      <c r="M148" s="36"/>
      <c r="N148" s="36"/>
      <c r="O148" s="36"/>
      <c r="P148" s="36"/>
      <c r="Q148" s="36"/>
      <c r="R148" s="36"/>
      <c r="S148" s="36"/>
    </row>
    <row r="149" spans="1:19">
      <c r="A149" s="26">
        <v>146</v>
      </c>
      <c r="B149" s="26" t="s">
        <v>59</v>
      </c>
      <c r="C149" s="26" t="s">
        <v>405</v>
      </c>
      <c r="D149" s="26" t="s">
        <v>30</v>
      </c>
      <c r="E149" s="30">
        <v>16800</v>
      </c>
      <c r="F149" s="31">
        <v>1</v>
      </c>
      <c r="G149" s="30">
        <f t="shared" si="5"/>
        <v>16800</v>
      </c>
      <c r="H149" s="32">
        <v>0.5</v>
      </c>
      <c r="I149" s="30">
        <f t="shared" si="6"/>
        <v>8400</v>
      </c>
      <c r="J149" s="35"/>
      <c r="K149" s="36"/>
      <c r="L149" s="36"/>
      <c r="M149" s="36"/>
      <c r="N149" s="36"/>
      <c r="O149" s="36"/>
      <c r="P149" s="36"/>
      <c r="Q149" s="36"/>
      <c r="R149" s="36"/>
      <c r="S149" s="36"/>
    </row>
    <row r="150" spans="1:19">
      <c r="A150" s="26">
        <v>147</v>
      </c>
      <c r="B150" s="26" t="s">
        <v>61</v>
      </c>
      <c r="C150" s="26" t="s">
        <v>406</v>
      </c>
      <c r="D150" s="26" t="s">
        <v>20</v>
      </c>
      <c r="E150" s="30">
        <f>12000*1.06</f>
        <v>12720</v>
      </c>
      <c r="F150" s="31">
        <v>2</v>
      </c>
      <c r="G150" s="30">
        <f t="shared" si="5"/>
        <v>25440</v>
      </c>
      <c r="H150" s="32">
        <v>0.5</v>
      </c>
      <c r="I150" s="30">
        <f t="shared" si="6"/>
        <v>12700</v>
      </c>
      <c r="J150" s="35"/>
      <c r="K150" s="36"/>
      <c r="L150" s="36"/>
      <c r="M150" s="36"/>
      <c r="N150" s="36"/>
      <c r="O150" s="36"/>
      <c r="P150" s="36"/>
      <c r="Q150" s="36"/>
      <c r="R150" s="36"/>
      <c r="S150" s="36"/>
    </row>
    <row r="151" spans="1:19">
      <c r="A151" s="26">
        <v>148</v>
      </c>
      <c r="B151" s="26" t="s">
        <v>61</v>
      </c>
      <c r="C151" s="26" t="s">
        <v>278</v>
      </c>
      <c r="D151" s="26" t="s">
        <v>20</v>
      </c>
      <c r="E151" s="30">
        <f>12000*1.06</f>
        <v>12720</v>
      </c>
      <c r="F151" s="31">
        <v>2</v>
      </c>
      <c r="G151" s="30">
        <f t="shared" si="5"/>
        <v>25440</v>
      </c>
      <c r="H151" s="32">
        <v>0.5</v>
      </c>
      <c r="I151" s="30">
        <f t="shared" si="6"/>
        <v>12700</v>
      </c>
      <c r="J151" s="35"/>
      <c r="K151" s="36"/>
      <c r="L151" s="36"/>
      <c r="M151" s="36"/>
      <c r="N151" s="36"/>
      <c r="O151" s="36"/>
      <c r="P151" s="36"/>
      <c r="Q151" s="36"/>
      <c r="R151" s="36"/>
      <c r="S151" s="36"/>
    </row>
    <row r="152" spans="1:19">
      <c r="A152" s="26">
        <v>149</v>
      </c>
      <c r="B152" s="26" t="s">
        <v>98</v>
      </c>
      <c r="C152" s="26" t="s">
        <v>407</v>
      </c>
      <c r="D152" s="26" t="s">
        <v>15</v>
      </c>
      <c r="E152" s="30">
        <f>56400/6</f>
        <v>9400</v>
      </c>
      <c r="F152" s="31">
        <v>2</v>
      </c>
      <c r="G152" s="30">
        <f t="shared" si="5"/>
        <v>18800</v>
      </c>
      <c r="H152" s="32">
        <v>0.5</v>
      </c>
      <c r="I152" s="30">
        <f t="shared" si="6"/>
        <v>9400</v>
      </c>
      <c r="J152" s="35"/>
      <c r="K152" s="36"/>
      <c r="L152" s="36"/>
      <c r="M152" s="36"/>
      <c r="N152" s="36"/>
      <c r="O152" s="36"/>
      <c r="P152" s="36"/>
      <c r="Q152" s="36"/>
      <c r="R152" s="36"/>
      <c r="S152" s="36"/>
    </row>
    <row r="153" spans="1:19">
      <c r="A153" s="26">
        <v>150</v>
      </c>
      <c r="B153" s="26" t="s">
        <v>28</v>
      </c>
      <c r="C153" s="26" t="s">
        <v>408</v>
      </c>
      <c r="D153" s="26" t="s">
        <v>347</v>
      </c>
      <c r="E153" s="30">
        <f>100000/100*9</f>
        <v>9000</v>
      </c>
      <c r="F153" s="31">
        <v>2</v>
      </c>
      <c r="G153" s="30">
        <f t="shared" si="5"/>
        <v>18000</v>
      </c>
      <c r="H153" s="32">
        <v>0.5</v>
      </c>
      <c r="I153" s="30">
        <f t="shared" si="6"/>
        <v>9000</v>
      </c>
      <c r="J153" s="35"/>
      <c r="K153" s="36"/>
      <c r="L153" s="36"/>
      <c r="M153" s="36"/>
      <c r="N153" s="36"/>
      <c r="O153" s="36"/>
      <c r="P153" s="36"/>
      <c r="Q153" s="36"/>
      <c r="R153" s="36"/>
      <c r="S153" s="36"/>
    </row>
    <row r="154" spans="1:19">
      <c r="A154" s="26">
        <v>151</v>
      </c>
      <c r="B154" s="26" t="s">
        <v>28</v>
      </c>
      <c r="C154" s="26" t="s">
        <v>175</v>
      </c>
      <c r="D154" s="26" t="s">
        <v>20</v>
      </c>
      <c r="E154" s="30">
        <f>48000/4*1.06</f>
        <v>12720</v>
      </c>
      <c r="F154" s="31">
        <v>2</v>
      </c>
      <c r="G154" s="30">
        <f t="shared" si="5"/>
        <v>25440</v>
      </c>
      <c r="H154" s="32">
        <v>0.5</v>
      </c>
      <c r="I154" s="30">
        <f t="shared" si="6"/>
        <v>12700</v>
      </c>
      <c r="J154" s="35"/>
      <c r="K154" s="36"/>
      <c r="L154" s="36"/>
      <c r="M154" s="36"/>
      <c r="N154" s="36"/>
      <c r="O154" s="36"/>
      <c r="P154" s="36"/>
      <c r="Q154" s="36"/>
      <c r="R154" s="36"/>
      <c r="S154" s="36"/>
    </row>
    <row r="155" ht="27" spans="1:19">
      <c r="A155" s="26">
        <v>152</v>
      </c>
      <c r="B155" s="26" t="s">
        <v>61</v>
      </c>
      <c r="C155" s="26" t="s">
        <v>279</v>
      </c>
      <c r="D155" s="26" t="s">
        <v>20</v>
      </c>
      <c r="E155" s="30">
        <f>12000*1.06</f>
        <v>12720</v>
      </c>
      <c r="F155" s="31">
        <v>1</v>
      </c>
      <c r="G155" s="30">
        <f t="shared" si="5"/>
        <v>12720</v>
      </c>
      <c r="H155" s="32">
        <v>0.5</v>
      </c>
      <c r="I155" s="30">
        <f t="shared" si="6"/>
        <v>6300</v>
      </c>
      <c r="J155" s="35" t="s">
        <v>409</v>
      </c>
      <c r="K155" s="36"/>
      <c r="L155" s="36"/>
      <c r="M155" s="36" t="s">
        <v>410</v>
      </c>
      <c r="N155" s="36"/>
      <c r="O155" s="36"/>
      <c r="P155" s="36"/>
      <c r="Q155" s="36"/>
      <c r="R155" s="36"/>
      <c r="S155" s="36"/>
    </row>
    <row r="156" spans="1:19">
      <c r="A156" s="26">
        <v>153</v>
      </c>
      <c r="B156" s="26" t="s">
        <v>25</v>
      </c>
      <c r="C156" s="26" t="s">
        <v>411</v>
      </c>
      <c r="D156" s="26" t="s">
        <v>131</v>
      </c>
      <c r="E156" s="30">
        <f>900*9</f>
        <v>8100</v>
      </c>
      <c r="F156" s="31">
        <v>2</v>
      </c>
      <c r="G156" s="30">
        <f t="shared" si="5"/>
        <v>16200</v>
      </c>
      <c r="H156" s="32">
        <v>0.5</v>
      </c>
      <c r="I156" s="30">
        <f t="shared" si="6"/>
        <v>8100</v>
      </c>
      <c r="J156" s="35" t="s">
        <v>412</v>
      </c>
      <c r="K156" s="36" t="s">
        <v>413</v>
      </c>
      <c r="L156" s="36"/>
      <c r="M156" s="36" t="s">
        <v>410</v>
      </c>
      <c r="N156" s="36"/>
      <c r="O156" s="36"/>
      <c r="P156" s="36"/>
      <c r="Q156" s="36"/>
      <c r="R156" s="36"/>
      <c r="S156" s="36"/>
    </row>
    <row r="157" spans="1:19">
      <c r="A157" s="26">
        <v>154</v>
      </c>
      <c r="B157" s="26" t="s">
        <v>28</v>
      </c>
      <c r="C157" s="26" t="s">
        <v>88</v>
      </c>
      <c r="D157" s="26" t="s">
        <v>30</v>
      </c>
      <c r="E157" s="30">
        <v>16800</v>
      </c>
      <c r="F157" s="31">
        <v>2</v>
      </c>
      <c r="G157" s="30">
        <f t="shared" si="5"/>
        <v>33600</v>
      </c>
      <c r="H157" s="32">
        <v>0.5</v>
      </c>
      <c r="I157" s="30">
        <f t="shared" si="6"/>
        <v>16800</v>
      </c>
      <c r="J157" s="35"/>
      <c r="K157" s="36"/>
      <c r="L157" s="36"/>
      <c r="M157" s="36"/>
      <c r="N157" s="36"/>
      <c r="O157" s="36"/>
      <c r="P157" s="36"/>
      <c r="Q157" s="36"/>
      <c r="R157" s="36"/>
      <c r="S157" s="36"/>
    </row>
    <row r="158" spans="1:19">
      <c r="A158" s="26">
        <v>155</v>
      </c>
      <c r="B158" s="26" t="s">
        <v>21</v>
      </c>
      <c r="C158" s="25" t="s">
        <v>231</v>
      </c>
      <c r="D158" s="26" t="s">
        <v>20</v>
      </c>
      <c r="E158" s="30">
        <f>12000*1.06</f>
        <v>12720</v>
      </c>
      <c r="F158" s="31">
        <v>1</v>
      </c>
      <c r="G158" s="30">
        <f t="shared" si="5"/>
        <v>12720</v>
      </c>
      <c r="H158" s="32">
        <v>0.5</v>
      </c>
      <c r="I158" s="30">
        <f t="shared" si="6"/>
        <v>6300</v>
      </c>
      <c r="J158" s="35"/>
      <c r="K158" s="36"/>
      <c r="L158" s="36"/>
      <c r="M158" s="36"/>
      <c r="N158" s="36"/>
      <c r="O158" s="36"/>
      <c r="P158" s="36"/>
      <c r="Q158" s="36"/>
      <c r="R158" s="36"/>
      <c r="S158" s="36"/>
    </row>
    <row r="159" spans="1:19">
      <c r="A159" s="26">
        <v>156</v>
      </c>
      <c r="B159" s="26" t="s">
        <v>25</v>
      </c>
      <c r="C159" s="25" t="s">
        <v>156</v>
      </c>
      <c r="D159" s="26" t="s">
        <v>20</v>
      </c>
      <c r="E159" s="30">
        <f>12000*1.06</f>
        <v>12720</v>
      </c>
      <c r="F159" s="31">
        <v>1</v>
      </c>
      <c r="G159" s="30">
        <f t="shared" si="5"/>
        <v>12720</v>
      </c>
      <c r="H159" s="32">
        <v>0.5</v>
      </c>
      <c r="I159" s="30">
        <f t="shared" si="6"/>
        <v>6300</v>
      </c>
      <c r="J159" s="35"/>
      <c r="K159" s="36"/>
      <c r="L159" s="36"/>
      <c r="M159" s="36"/>
      <c r="N159" s="36"/>
      <c r="O159" s="36"/>
      <c r="P159" s="36"/>
      <c r="Q159" s="36"/>
      <c r="R159" s="36"/>
      <c r="S159" s="36"/>
    </row>
    <row r="160" ht="27" spans="1:19">
      <c r="A160" s="26">
        <v>157</v>
      </c>
      <c r="B160" s="26" t="s">
        <v>21</v>
      </c>
      <c r="C160" s="26" t="s">
        <v>96</v>
      </c>
      <c r="D160" s="26" t="s">
        <v>20</v>
      </c>
      <c r="E160" s="30">
        <f>12000*1.06</f>
        <v>12720</v>
      </c>
      <c r="F160" s="31">
        <v>2</v>
      </c>
      <c r="G160" s="30">
        <f t="shared" si="5"/>
        <v>25440</v>
      </c>
      <c r="H160" s="32">
        <v>0.5</v>
      </c>
      <c r="I160" s="30">
        <f t="shared" si="6"/>
        <v>12700</v>
      </c>
      <c r="J160" s="35" t="s">
        <v>414</v>
      </c>
      <c r="K160" s="36"/>
      <c r="L160" s="36" t="s">
        <v>415</v>
      </c>
      <c r="M160" s="36"/>
      <c r="N160" s="36" t="s">
        <v>410</v>
      </c>
      <c r="O160" s="36"/>
      <c r="P160" s="36"/>
      <c r="Q160" s="36"/>
      <c r="R160" s="36"/>
      <c r="S160" s="36"/>
    </row>
    <row r="161" spans="1:19">
      <c r="A161" s="26">
        <v>158</v>
      </c>
      <c r="B161" s="26" t="s">
        <v>21</v>
      </c>
      <c r="C161" s="26" t="s">
        <v>39</v>
      </c>
      <c r="D161" s="26" t="s">
        <v>15</v>
      </c>
      <c r="E161" s="30">
        <f>56400/6</f>
        <v>9400</v>
      </c>
      <c r="F161" s="31">
        <v>2</v>
      </c>
      <c r="G161" s="30">
        <f t="shared" si="5"/>
        <v>18800</v>
      </c>
      <c r="H161" s="32">
        <v>0.5</v>
      </c>
      <c r="I161" s="30">
        <f t="shared" si="6"/>
        <v>9400</v>
      </c>
      <c r="J161" s="35"/>
      <c r="K161" s="36"/>
      <c r="L161" s="36"/>
      <c r="M161" s="36"/>
      <c r="N161" s="36"/>
      <c r="O161" s="36"/>
      <c r="P161" s="36"/>
      <c r="Q161" s="36"/>
      <c r="R161" s="36"/>
      <c r="S161" s="36"/>
    </row>
    <row r="162" spans="1:19">
      <c r="A162" s="26">
        <v>159</v>
      </c>
      <c r="B162" s="26" t="s">
        <v>13</v>
      </c>
      <c r="C162" s="26" t="s">
        <v>129</v>
      </c>
      <c r="D162" s="26" t="s">
        <v>20</v>
      </c>
      <c r="E162" s="30">
        <f>12000*1.06</f>
        <v>12720</v>
      </c>
      <c r="F162" s="31">
        <v>1</v>
      </c>
      <c r="G162" s="30">
        <f t="shared" si="5"/>
        <v>12720</v>
      </c>
      <c r="H162" s="32">
        <v>0.5</v>
      </c>
      <c r="I162" s="30">
        <f t="shared" si="6"/>
        <v>6300</v>
      </c>
      <c r="J162" s="35"/>
      <c r="K162" s="36"/>
      <c r="L162" s="36"/>
      <c r="M162" s="36"/>
      <c r="N162" s="36"/>
      <c r="O162" s="36"/>
      <c r="P162" s="36"/>
      <c r="Q162" s="36"/>
      <c r="R162" s="36"/>
      <c r="S162" s="36"/>
    </row>
    <row r="163" spans="1:19">
      <c r="A163" s="26">
        <v>160</v>
      </c>
      <c r="B163" s="26" t="s">
        <v>28</v>
      </c>
      <c r="C163" s="26" t="s">
        <v>29</v>
      </c>
      <c r="D163" s="26" t="s">
        <v>30</v>
      </c>
      <c r="E163" s="30">
        <v>16800</v>
      </c>
      <c r="F163" s="31">
        <v>2</v>
      </c>
      <c r="G163" s="30">
        <f t="shared" si="5"/>
        <v>33600</v>
      </c>
      <c r="H163" s="32">
        <v>0.5</v>
      </c>
      <c r="I163" s="30">
        <f t="shared" si="6"/>
        <v>16800</v>
      </c>
      <c r="J163" s="35"/>
      <c r="K163" s="36"/>
      <c r="L163" s="36"/>
      <c r="M163" s="36"/>
      <c r="N163" s="36"/>
      <c r="O163" s="36"/>
      <c r="P163" s="36"/>
      <c r="Q163" s="36"/>
      <c r="R163" s="36"/>
      <c r="S163" s="36"/>
    </row>
    <row r="164" spans="1:19">
      <c r="A164" s="26">
        <v>161</v>
      </c>
      <c r="B164" s="26" t="s">
        <v>28</v>
      </c>
      <c r="C164" s="26" t="s">
        <v>29</v>
      </c>
      <c r="D164" s="26" t="s">
        <v>44</v>
      </c>
      <c r="E164" s="30">
        <f>75000/54*9</f>
        <v>12500</v>
      </c>
      <c r="F164" s="31">
        <v>2</v>
      </c>
      <c r="G164" s="30">
        <f t="shared" si="5"/>
        <v>25000</v>
      </c>
      <c r="H164" s="32">
        <v>0.5</v>
      </c>
      <c r="I164" s="30">
        <f t="shared" si="6"/>
        <v>12500</v>
      </c>
      <c r="J164" s="35"/>
      <c r="K164" s="36"/>
      <c r="L164" s="36"/>
      <c r="M164" s="36"/>
      <c r="N164" s="36"/>
      <c r="O164" s="36"/>
      <c r="P164" s="36"/>
      <c r="Q164" s="36"/>
      <c r="R164" s="36"/>
      <c r="S164" s="36"/>
    </row>
    <row r="165" spans="1:19">
      <c r="A165" s="26">
        <v>162</v>
      </c>
      <c r="B165" s="25" t="s">
        <v>112</v>
      </c>
      <c r="C165" s="26" t="s">
        <v>187</v>
      </c>
      <c r="D165" s="26" t="s">
        <v>20</v>
      </c>
      <c r="E165" s="30">
        <f>12000*1.06</f>
        <v>12720</v>
      </c>
      <c r="F165" s="31">
        <v>2</v>
      </c>
      <c r="G165" s="30">
        <f t="shared" si="5"/>
        <v>25440</v>
      </c>
      <c r="H165" s="32">
        <v>0.5</v>
      </c>
      <c r="I165" s="30">
        <f t="shared" si="6"/>
        <v>12700</v>
      </c>
      <c r="J165" s="35"/>
      <c r="K165" s="36"/>
      <c r="L165" s="36"/>
      <c r="M165" s="36"/>
      <c r="N165" s="36"/>
      <c r="O165" s="36"/>
      <c r="P165" s="36"/>
      <c r="Q165" s="36"/>
      <c r="R165" s="36"/>
      <c r="S165" s="36"/>
    </row>
    <row r="166" spans="1:19">
      <c r="A166" s="26">
        <v>163</v>
      </c>
      <c r="B166" s="26" t="s">
        <v>23</v>
      </c>
      <c r="C166" s="26" t="s">
        <v>416</v>
      </c>
      <c r="D166" s="26" t="s">
        <v>131</v>
      </c>
      <c r="E166" s="30">
        <f>39600/18*9</f>
        <v>19800</v>
      </c>
      <c r="F166" s="31">
        <v>2</v>
      </c>
      <c r="G166" s="30">
        <f t="shared" si="5"/>
        <v>39600</v>
      </c>
      <c r="H166" s="32">
        <v>0.5</v>
      </c>
      <c r="I166" s="30">
        <f t="shared" si="6"/>
        <v>19800</v>
      </c>
      <c r="J166" s="35"/>
      <c r="K166" s="36"/>
      <c r="L166" s="36"/>
      <c r="M166" s="36"/>
      <c r="N166" s="36"/>
      <c r="O166" s="36"/>
      <c r="P166" s="36"/>
      <c r="Q166" s="36"/>
      <c r="R166" s="36"/>
      <c r="S166" s="36"/>
    </row>
    <row r="167" spans="1:19">
      <c r="A167" s="26">
        <v>164</v>
      </c>
      <c r="B167" s="26" t="s">
        <v>18</v>
      </c>
      <c r="C167" s="26" t="s">
        <v>241</v>
      </c>
      <c r="D167" s="26" t="s">
        <v>131</v>
      </c>
      <c r="E167" s="30">
        <f>39600/18*9</f>
        <v>19800</v>
      </c>
      <c r="F167" s="31">
        <v>2</v>
      </c>
      <c r="G167" s="30">
        <f t="shared" si="5"/>
        <v>39600</v>
      </c>
      <c r="H167" s="32">
        <v>0.5</v>
      </c>
      <c r="I167" s="30">
        <f t="shared" si="6"/>
        <v>19800</v>
      </c>
      <c r="J167" s="35"/>
      <c r="K167" s="36"/>
      <c r="L167" s="36"/>
      <c r="M167" s="36"/>
      <c r="N167" s="36"/>
      <c r="O167" s="36"/>
      <c r="P167" s="36"/>
      <c r="Q167" s="36"/>
      <c r="R167" s="36"/>
      <c r="S167" s="36"/>
    </row>
    <row r="168" spans="1:19">
      <c r="A168" s="26">
        <v>165</v>
      </c>
      <c r="B168" s="26" t="s">
        <v>23</v>
      </c>
      <c r="C168" s="26" t="s">
        <v>147</v>
      </c>
      <c r="D168" s="26" t="s">
        <v>15</v>
      </c>
      <c r="E168" s="30">
        <f>101920/10</f>
        <v>10192</v>
      </c>
      <c r="F168" s="31">
        <v>2</v>
      </c>
      <c r="G168" s="30">
        <f t="shared" si="5"/>
        <v>20384</v>
      </c>
      <c r="H168" s="32">
        <v>0.5</v>
      </c>
      <c r="I168" s="30">
        <f t="shared" si="6"/>
        <v>10100</v>
      </c>
      <c r="J168" s="35" t="s">
        <v>417</v>
      </c>
      <c r="K168" s="36"/>
      <c r="L168" s="36" t="s">
        <v>418</v>
      </c>
      <c r="M168" s="36"/>
      <c r="N168" s="36"/>
      <c r="O168" s="36"/>
      <c r="P168" s="36"/>
      <c r="Q168" s="36"/>
      <c r="R168" s="36"/>
      <c r="S168" s="36"/>
    </row>
    <row r="169" spans="1:19">
      <c r="A169" s="26">
        <v>166</v>
      </c>
      <c r="B169" s="26" t="s">
        <v>13</v>
      </c>
      <c r="C169" s="26" t="s">
        <v>419</v>
      </c>
      <c r="D169" s="26" t="s">
        <v>131</v>
      </c>
      <c r="E169" s="30">
        <f>9*1600</f>
        <v>14400</v>
      </c>
      <c r="F169" s="31">
        <v>1</v>
      </c>
      <c r="G169" s="30">
        <f t="shared" si="5"/>
        <v>14400</v>
      </c>
      <c r="H169" s="32">
        <v>0.5</v>
      </c>
      <c r="I169" s="30">
        <f t="shared" si="6"/>
        <v>7200</v>
      </c>
      <c r="J169" s="35"/>
      <c r="K169" s="36"/>
      <c r="L169" s="36"/>
      <c r="M169" s="36"/>
      <c r="N169" s="36"/>
      <c r="O169" s="36"/>
      <c r="P169" s="36"/>
      <c r="Q169" s="36"/>
      <c r="R169" s="36"/>
      <c r="S169" s="36"/>
    </row>
    <row r="170" spans="1:19">
      <c r="A170" s="26">
        <v>167</v>
      </c>
      <c r="B170" s="26" t="s">
        <v>61</v>
      </c>
      <c r="C170" s="26" t="s">
        <v>420</v>
      </c>
      <c r="D170" s="26" t="s">
        <v>131</v>
      </c>
      <c r="E170" s="30">
        <v>19800</v>
      </c>
      <c r="F170" s="31">
        <v>1</v>
      </c>
      <c r="G170" s="30">
        <f t="shared" si="5"/>
        <v>19800</v>
      </c>
      <c r="H170" s="32">
        <v>0.5</v>
      </c>
      <c r="I170" s="30">
        <f t="shared" si="6"/>
        <v>9900</v>
      </c>
      <c r="J170" s="35"/>
      <c r="K170" s="36"/>
      <c r="L170" s="36"/>
      <c r="M170" s="36"/>
      <c r="N170" s="36"/>
      <c r="O170" s="36"/>
      <c r="P170" s="36"/>
      <c r="Q170" s="36"/>
      <c r="R170" s="36"/>
      <c r="S170" s="36"/>
    </row>
    <row r="171" spans="1:19">
      <c r="A171" s="26">
        <v>168</v>
      </c>
      <c r="B171" s="26" t="s">
        <v>18</v>
      </c>
      <c r="C171" s="26" t="s">
        <v>220</v>
      </c>
      <c r="D171" s="26" t="s">
        <v>131</v>
      </c>
      <c r="E171" s="30">
        <f>39600/18*9</f>
        <v>19800</v>
      </c>
      <c r="F171" s="31">
        <v>2</v>
      </c>
      <c r="G171" s="30">
        <f t="shared" si="5"/>
        <v>39600</v>
      </c>
      <c r="H171" s="32">
        <v>0.5</v>
      </c>
      <c r="I171" s="30">
        <f t="shared" si="6"/>
        <v>19800</v>
      </c>
      <c r="J171" s="35"/>
      <c r="K171" s="36"/>
      <c r="L171" s="36"/>
      <c r="M171" s="36"/>
      <c r="N171" s="36"/>
      <c r="O171" s="36"/>
      <c r="P171" s="36"/>
      <c r="Q171" s="36"/>
      <c r="R171" s="36"/>
      <c r="S171" s="36"/>
    </row>
    <row r="172" spans="1:19">
      <c r="A172" s="26">
        <v>169</v>
      </c>
      <c r="B172" s="26" t="s">
        <v>51</v>
      </c>
      <c r="C172" s="26" t="s">
        <v>142</v>
      </c>
      <c r="D172" s="26" t="s">
        <v>131</v>
      </c>
      <c r="E172" s="30">
        <f>39600/18*9</f>
        <v>19800</v>
      </c>
      <c r="F172" s="31">
        <v>2</v>
      </c>
      <c r="G172" s="30">
        <f t="shared" si="5"/>
        <v>39600</v>
      </c>
      <c r="H172" s="32">
        <v>0.5</v>
      </c>
      <c r="I172" s="30">
        <f t="shared" si="6"/>
        <v>19800</v>
      </c>
      <c r="J172" s="35"/>
      <c r="K172" s="36"/>
      <c r="L172" s="36"/>
      <c r="M172" s="36"/>
      <c r="N172" s="36"/>
      <c r="O172" s="36"/>
      <c r="P172" s="36"/>
      <c r="Q172" s="36"/>
      <c r="R172" s="36"/>
      <c r="S172" s="36"/>
    </row>
    <row r="173" spans="1:19">
      <c r="A173" s="26">
        <v>170</v>
      </c>
      <c r="B173" s="26" t="s">
        <v>51</v>
      </c>
      <c r="C173" s="26" t="s">
        <v>142</v>
      </c>
      <c r="D173" s="26" t="s">
        <v>338</v>
      </c>
      <c r="E173" s="30">
        <f>87900/36*9</f>
        <v>21975</v>
      </c>
      <c r="F173" s="31">
        <v>2</v>
      </c>
      <c r="G173" s="30">
        <f t="shared" si="5"/>
        <v>43950</v>
      </c>
      <c r="H173" s="32">
        <v>0.5</v>
      </c>
      <c r="I173" s="30">
        <f t="shared" si="6"/>
        <v>21900</v>
      </c>
      <c r="J173" s="35"/>
      <c r="K173" s="36"/>
      <c r="L173" s="36"/>
      <c r="M173" s="36"/>
      <c r="N173" s="36"/>
      <c r="O173" s="36"/>
      <c r="P173" s="36"/>
      <c r="Q173" s="36"/>
      <c r="R173" s="36"/>
      <c r="S173" s="36"/>
    </row>
    <row r="174" spans="1:19">
      <c r="A174" s="26">
        <v>171</v>
      </c>
      <c r="B174" s="26" t="s">
        <v>18</v>
      </c>
      <c r="C174" s="26" t="s">
        <v>219</v>
      </c>
      <c r="D174" s="26" t="s">
        <v>131</v>
      </c>
      <c r="E174" s="30">
        <f>39600/18*9</f>
        <v>19800</v>
      </c>
      <c r="F174" s="31">
        <v>2</v>
      </c>
      <c r="G174" s="30">
        <f t="shared" si="5"/>
        <v>39600</v>
      </c>
      <c r="H174" s="32">
        <v>0.5</v>
      </c>
      <c r="I174" s="30">
        <f t="shared" si="6"/>
        <v>19800</v>
      </c>
      <c r="J174" s="35"/>
      <c r="K174" s="36"/>
      <c r="L174" s="36"/>
      <c r="M174" s="36"/>
      <c r="N174" s="36"/>
      <c r="O174" s="36"/>
      <c r="P174" s="36"/>
      <c r="Q174" s="36"/>
      <c r="R174" s="36"/>
      <c r="S174" s="36"/>
    </row>
    <row r="175" spans="1:19">
      <c r="A175" s="26">
        <v>172</v>
      </c>
      <c r="B175" s="26" t="s">
        <v>18</v>
      </c>
      <c r="C175" s="26" t="s">
        <v>219</v>
      </c>
      <c r="D175" s="26" t="s">
        <v>338</v>
      </c>
      <c r="E175" s="30">
        <f>(89400-1500)/36*9</f>
        <v>21975</v>
      </c>
      <c r="F175" s="31">
        <v>2</v>
      </c>
      <c r="G175" s="30">
        <f t="shared" si="5"/>
        <v>43950</v>
      </c>
      <c r="H175" s="32">
        <v>0.5</v>
      </c>
      <c r="I175" s="30">
        <f t="shared" si="6"/>
        <v>21900</v>
      </c>
      <c r="J175" s="35"/>
      <c r="K175" s="36"/>
      <c r="L175" s="36"/>
      <c r="M175" s="36"/>
      <c r="N175" s="36"/>
      <c r="O175" s="36"/>
      <c r="P175" s="36"/>
      <c r="Q175" s="36"/>
      <c r="R175" s="36"/>
      <c r="S175" s="36"/>
    </row>
    <row r="176" spans="1:19">
      <c r="A176" s="26">
        <v>173</v>
      </c>
      <c r="B176" s="26" t="s">
        <v>98</v>
      </c>
      <c r="C176" s="26" t="s">
        <v>221</v>
      </c>
      <c r="D176" s="26" t="s">
        <v>131</v>
      </c>
      <c r="E176" s="30">
        <f>39600/18*9</f>
        <v>19800</v>
      </c>
      <c r="F176" s="31">
        <v>2</v>
      </c>
      <c r="G176" s="30">
        <f t="shared" si="5"/>
        <v>39600</v>
      </c>
      <c r="H176" s="32">
        <v>0.5</v>
      </c>
      <c r="I176" s="30">
        <f t="shared" si="6"/>
        <v>19800</v>
      </c>
      <c r="J176" s="35"/>
      <c r="K176" s="36"/>
      <c r="L176" s="36"/>
      <c r="M176" s="36"/>
      <c r="N176" s="36"/>
      <c r="O176" s="36"/>
      <c r="P176" s="36"/>
      <c r="Q176" s="36"/>
      <c r="R176" s="36"/>
      <c r="S176" s="36"/>
    </row>
    <row r="177" spans="1:19">
      <c r="A177" s="26">
        <v>174</v>
      </c>
      <c r="B177" s="26" t="s">
        <v>112</v>
      </c>
      <c r="C177" s="26" t="s">
        <v>239</v>
      </c>
      <c r="D177" s="26" t="s">
        <v>131</v>
      </c>
      <c r="E177" s="30">
        <f>39600/18*9</f>
        <v>19800</v>
      </c>
      <c r="F177" s="31">
        <v>2</v>
      </c>
      <c r="G177" s="30">
        <f t="shared" si="5"/>
        <v>39600</v>
      </c>
      <c r="H177" s="32">
        <v>0.5</v>
      </c>
      <c r="I177" s="30">
        <f t="shared" si="6"/>
        <v>19800</v>
      </c>
      <c r="J177" s="35"/>
      <c r="K177" s="36"/>
      <c r="L177" s="36"/>
      <c r="M177" s="36"/>
      <c r="N177" s="36"/>
      <c r="O177" s="36"/>
      <c r="P177" s="36"/>
      <c r="Q177" s="36"/>
      <c r="R177" s="36"/>
      <c r="S177" s="36"/>
    </row>
    <row r="178" spans="1:19">
      <c r="A178" s="26">
        <v>175</v>
      </c>
      <c r="B178" s="26" t="s">
        <v>23</v>
      </c>
      <c r="C178" s="26" t="s">
        <v>421</v>
      </c>
      <c r="D178" s="26" t="s">
        <v>131</v>
      </c>
      <c r="E178" s="30">
        <f>39600/18*9</f>
        <v>19800</v>
      </c>
      <c r="F178" s="31">
        <v>2</v>
      </c>
      <c r="G178" s="30">
        <f t="shared" si="5"/>
        <v>39600</v>
      </c>
      <c r="H178" s="32">
        <v>0.5</v>
      </c>
      <c r="I178" s="30">
        <f t="shared" si="6"/>
        <v>19800</v>
      </c>
      <c r="J178" s="35" t="s">
        <v>422</v>
      </c>
      <c r="K178" s="36"/>
      <c r="L178" s="36"/>
      <c r="M178" s="36"/>
      <c r="N178" s="36"/>
      <c r="O178" s="36"/>
      <c r="P178" s="36"/>
      <c r="Q178" s="36"/>
      <c r="R178" s="36"/>
      <c r="S178" s="36"/>
    </row>
    <row r="179" spans="1:19">
      <c r="A179" s="26">
        <v>176</v>
      </c>
      <c r="B179" s="26" t="s">
        <v>28</v>
      </c>
      <c r="C179" s="26" t="s">
        <v>158</v>
      </c>
      <c r="D179" s="26" t="s">
        <v>44</v>
      </c>
      <c r="E179" s="30">
        <f>26100/27*9</f>
        <v>8700</v>
      </c>
      <c r="F179" s="31">
        <v>2</v>
      </c>
      <c r="G179" s="30">
        <f t="shared" si="5"/>
        <v>17400</v>
      </c>
      <c r="H179" s="32">
        <v>0.5</v>
      </c>
      <c r="I179" s="30">
        <f t="shared" si="6"/>
        <v>8700</v>
      </c>
      <c r="J179" s="35" t="s">
        <v>423</v>
      </c>
      <c r="K179" s="36"/>
      <c r="L179" s="36"/>
      <c r="M179" s="36"/>
      <c r="N179" s="36"/>
      <c r="O179" s="36"/>
      <c r="P179" s="36"/>
      <c r="Q179" s="36"/>
      <c r="R179" s="36"/>
      <c r="S179" s="36"/>
    </row>
    <row r="180" spans="1:19">
      <c r="A180" s="26">
        <v>177</v>
      </c>
      <c r="B180" s="26" t="s">
        <v>18</v>
      </c>
      <c r="C180" s="26" t="s">
        <v>50</v>
      </c>
      <c r="D180" s="26" t="s">
        <v>20</v>
      </c>
      <c r="E180" s="30">
        <f>48000*1.06/4</f>
        <v>12720</v>
      </c>
      <c r="F180" s="31">
        <v>2</v>
      </c>
      <c r="G180" s="30">
        <f t="shared" si="5"/>
        <v>25440</v>
      </c>
      <c r="H180" s="32">
        <v>0.5</v>
      </c>
      <c r="I180" s="30">
        <f t="shared" si="6"/>
        <v>12700</v>
      </c>
      <c r="J180" s="35"/>
      <c r="K180" s="36"/>
      <c r="L180" s="36"/>
      <c r="M180" s="36"/>
      <c r="N180" s="36"/>
      <c r="O180" s="36"/>
      <c r="P180" s="36"/>
      <c r="Q180" s="36"/>
      <c r="R180" s="36"/>
      <c r="S180" s="36"/>
    </row>
    <row r="181" spans="1:19">
      <c r="A181" s="26">
        <v>178</v>
      </c>
      <c r="B181" s="26" t="s">
        <v>13</v>
      </c>
      <c r="C181" s="25" t="s">
        <v>119</v>
      </c>
      <c r="D181" s="26" t="s">
        <v>15</v>
      </c>
      <c r="E181" s="30">
        <f>41600/4</f>
        <v>10400</v>
      </c>
      <c r="F181" s="31">
        <v>2</v>
      </c>
      <c r="G181" s="30">
        <f t="shared" si="5"/>
        <v>20800</v>
      </c>
      <c r="H181" s="32">
        <v>0.5</v>
      </c>
      <c r="I181" s="30">
        <f t="shared" si="6"/>
        <v>10400</v>
      </c>
      <c r="J181" s="35" t="s">
        <v>424</v>
      </c>
      <c r="K181" s="36"/>
      <c r="L181" s="36"/>
      <c r="M181" s="36"/>
      <c r="N181" s="36"/>
      <c r="O181" s="36"/>
      <c r="P181" s="36"/>
      <c r="Q181" s="36"/>
      <c r="R181" s="36"/>
      <c r="S181" s="36"/>
    </row>
    <row r="182" spans="1:19">
      <c r="A182" s="26">
        <v>179</v>
      </c>
      <c r="B182" s="26" t="s">
        <v>23</v>
      </c>
      <c r="C182" s="26" t="s">
        <v>425</v>
      </c>
      <c r="D182" s="26" t="s">
        <v>382</v>
      </c>
      <c r="E182" s="30">
        <v>10000</v>
      </c>
      <c r="F182" s="31">
        <v>1</v>
      </c>
      <c r="G182" s="30">
        <f t="shared" si="5"/>
        <v>10000</v>
      </c>
      <c r="H182" s="32">
        <v>0.5</v>
      </c>
      <c r="I182" s="30">
        <f t="shared" si="6"/>
        <v>5000</v>
      </c>
      <c r="J182" s="35"/>
      <c r="K182" s="36"/>
      <c r="L182" s="36"/>
      <c r="M182" s="36"/>
      <c r="N182" s="36"/>
      <c r="O182" s="36"/>
      <c r="P182" s="36"/>
      <c r="Q182" s="36"/>
      <c r="R182" s="36"/>
      <c r="S182" s="36"/>
    </row>
    <row r="183" spans="1:19">
      <c r="A183" s="26">
        <v>180</v>
      </c>
      <c r="B183" s="26" t="s">
        <v>67</v>
      </c>
      <c r="C183" s="26" t="s">
        <v>426</v>
      </c>
      <c r="D183" s="26" t="s">
        <v>347</v>
      </c>
      <c r="E183" s="30">
        <f>60000/229*9</f>
        <v>2358.07860262009</v>
      </c>
      <c r="F183" s="31">
        <v>2</v>
      </c>
      <c r="G183" s="30">
        <f t="shared" si="5"/>
        <v>4716.15720524017</v>
      </c>
      <c r="H183" s="32">
        <v>0.5</v>
      </c>
      <c r="I183" s="30">
        <f t="shared" si="6"/>
        <v>2300</v>
      </c>
      <c r="J183" s="35"/>
      <c r="K183" s="36"/>
      <c r="L183" s="36"/>
      <c r="M183" s="36"/>
      <c r="N183" s="36"/>
      <c r="O183" s="36"/>
      <c r="P183" s="36"/>
      <c r="Q183" s="36"/>
      <c r="R183" s="36"/>
      <c r="S183" s="36"/>
    </row>
    <row r="184" spans="1:19">
      <c r="A184" s="26">
        <v>181</v>
      </c>
      <c r="B184" s="26" t="s">
        <v>28</v>
      </c>
      <c r="C184" s="26" t="s">
        <v>223</v>
      </c>
      <c r="D184" s="26" t="s">
        <v>44</v>
      </c>
      <c r="E184" s="30">
        <f>51750/30*9</f>
        <v>15525</v>
      </c>
      <c r="F184" s="31">
        <v>2</v>
      </c>
      <c r="G184" s="30">
        <f t="shared" si="5"/>
        <v>31050</v>
      </c>
      <c r="H184" s="32">
        <v>0.5</v>
      </c>
      <c r="I184" s="30">
        <f t="shared" si="6"/>
        <v>15500</v>
      </c>
      <c r="J184" s="35"/>
      <c r="K184" s="36"/>
      <c r="L184" s="36"/>
      <c r="M184" s="36"/>
      <c r="N184" s="36"/>
      <c r="O184" s="36"/>
      <c r="P184" s="36"/>
      <c r="Q184" s="36"/>
      <c r="R184" s="36"/>
      <c r="S184" s="36"/>
    </row>
    <row r="185" spans="1:19">
      <c r="A185" s="26">
        <v>182</v>
      </c>
      <c r="B185" s="26" t="s">
        <v>28</v>
      </c>
      <c r="C185" s="26" t="s">
        <v>199</v>
      </c>
      <c r="D185" s="26" t="s">
        <v>44</v>
      </c>
      <c r="E185" s="30">
        <f>110400/64*9</f>
        <v>15525</v>
      </c>
      <c r="F185" s="31">
        <v>2</v>
      </c>
      <c r="G185" s="30">
        <f t="shared" si="5"/>
        <v>31050</v>
      </c>
      <c r="H185" s="32">
        <v>0.5</v>
      </c>
      <c r="I185" s="30">
        <f t="shared" si="6"/>
        <v>15500</v>
      </c>
      <c r="J185" s="35"/>
      <c r="K185" s="36"/>
      <c r="L185" s="36"/>
      <c r="M185" s="36"/>
      <c r="N185" s="36"/>
      <c r="O185" s="36"/>
      <c r="P185" s="36"/>
      <c r="Q185" s="36"/>
      <c r="R185" s="36"/>
      <c r="S185" s="36"/>
    </row>
    <row r="186" spans="1:19">
      <c r="A186" s="26">
        <v>183</v>
      </c>
      <c r="B186" s="26" t="s">
        <v>28</v>
      </c>
      <c r="C186" s="26" t="s">
        <v>311</v>
      </c>
      <c r="D186" s="26" t="s">
        <v>44</v>
      </c>
      <c r="E186" s="30">
        <f>62100/36*9</f>
        <v>15525</v>
      </c>
      <c r="F186" s="31">
        <v>2</v>
      </c>
      <c r="G186" s="30">
        <f t="shared" si="5"/>
        <v>31050</v>
      </c>
      <c r="H186" s="32">
        <v>0.5</v>
      </c>
      <c r="I186" s="30">
        <f t="shared" si="6"/>
        <v>15500</v>
      </c>
      <c r="J186" s="35"/>
      <c r="K186" s="36"/>
      <c r="L186" s="36"/>
      <c r="M186" s="36"/>
      <c r="N186" s="36"/>
      <c r="O186" s="36"/>
      <c r="P186" s="36"/>
      <c r="Q186" s="36"/>
      <c r="R186" s="36"/>
      <c r="S186" s="36"/>
    </row>
    <row r="187" spans="1:19">
      <c r="A187" s="26">
        <v>184</v>
      </c>
      <c r="B187" s="26" t="s">
        <v>28</v>
      </c>
      <c r="C187" s="26" t="s">
        <v>215</v>
      </c>
      <c r="D187" s="26" t="s">
        <v>44</v>
      </c>
      <c r="E187" s="30">
        <f>41400/24*9</f>
        <v>15525</v>
      </c>
      <c r="F187" s="31">
        <v>2</v>
      </c>
      <c r="G187" s="30">
        <f t="shared" si="5"/>
        <v>31050</v>
      </c>
      <c r="H187" s="32">
        <v>0.5</v>
      </c>
      <c r="I187" s="30">
        <f t="shared" si="6"/>
        <v>15500</v>
      </c>
      <c r="J187" s="35"/>
      <c r="K187" s="36"/>
      <c r="L187" s="36"/>
      <c r="M187" s="36"/>
      <c r="N187" s="36"/>
      <c r="O187" s="36"/>
      <c r="P187" s="36"/>
      <c r="Q187" s="36"/>
      <c r="R187" s="36"/>
      <c r="S187" s="36"/>
    </row>
    <row r="188" spans="1:19">
      <c r="A188" s="26">
        <v>185</v>
      </c>
      <c r="B188" s="26" t="s">
        <v>28</v>
      </c>
      <c r="C188" s="26" t="s">
        <v>427</v>
      </c>
      <c r="D188" s="26" t="s">
        <v>44</v>
      </c>
      <c r="E188" s="30">
        <f>34500/20*9</f>
        <v>15525</v>
      </c>
      <c r="F188" s="31">
        <v>2</v>
      </c>
      <c r="G188" s="30">
        <f t="shared" si="5"/>
        <v>31050</v>
      </c>
      <c r="H188" s="32">
        <v>0.5</v>
      </c>
      <c r="I188" s="30">
        <f t="shared" si="6"/>
        <v>15500</v>
      </c>
      <c r="J188" s="35"/>
      <c r="K188" s="36"/>
      <c r="L188" s="36"/>
      <c r="M188" s="36"/>
      <c r="N188" s="36"/>
      <c r="O188" s="36"/>
      <c r="P188" s="36"/>
      <c r="Q188" s="36"/>
      <c r="R188" s="36"/>
      <c r="S188" s="36"/>
    </row>
    <row r="189" spans="1:19">
      <c r="A189" s="26">
        <v>186</v>
      </c>
      <c r="B189" s="25" t="s">
        <v>67</v>
      </c>
      <c r="C189" s="26" t="s">
        <v>207</v>
      </c>
      <c r="D189" s="26" t="s">
        <v>44</v>
      </c>
      <c r="E189" s="30">
        <f>69000/40*9</f>
        <v>15525</v>
      </c>
      <c r="F189" s="31">
        <v>2</v>
      </c>
      <c r="G189" s="30">
        <f t="shared" si="5"/>
        <v>31050</v>
      </c>
      <c r="H189" s="32">
        <v>0.5</v>
      </c>
      <c r="I189" s="30">
        <f t="shared" si="6"/>
        <v>15500</v>
      </c>
      <c r="J189" s="35"/>
      <c r="K189" s="36"/>
      <c r="L189" s="36"/>
      <c r="M189" s="36"/>
      <c r="N189" s="36"/>
      <c r="O189" s="36"/>
      <c r="P189" s="36"/>
      <c r="Q189" s="36"/>
      <c r="R189" s="36"/>
      <c r="S189" s="36"/>
    </row>
    <row r="190" spans="1:19">
      <c r="A190" s="26">
        <v>187</v>
      </c>
      <c r="B190" s="26" t="s">
        <v>28</v>
      </c>
      <c r="C190" s="26" t="s">
        <v>428</v>
      </c>
      <c r="D190" s="26" t="s">
        <v>44</v>
      </c>
      <c r="E190" s="30">
        <f>20700/12*9</f>
        <v>15525</v>
      </c>
      <c r="F190" s="31">
        <v>1</v>
      </c>
      <c r="G190" s="30">
        <f t="shared" si="5"/>
        <v>15525</v>
      </c>
      <c r="H190" s="32">
        <v>0.5</v>
      </c>
      <c r="I190" s="30">
        <f t="shared" si="6"/>
        <v>7700</v>
      </c>
      <c r="J190" s="35"/>
      <c r="K190" s="36"/>
      <c r="L190" s="36"/>
      <c r="M190" s="36"/>
      <c r="N190" s="36"/>
      <c r="O190" s="36"/>
      <c r="P190" s="36"/>
      <c r="Q190" s="36"/>
      <c r="R190" s="36"/>
      <c r="S190" s="36"/>
    </row>
    <row r="191" spans="1:19">
      <c r="A191" s="26">
        <v>188</v>
      </c>
      <c r="B191" s="26" t="s">
        <v>28</v>
      </c>
      <c r="C191" s="26" t="s">
        <v>304</v>
      </c>
      <c r="D191" s="26" t="s">
        <v>44</v>
      </c>
      <c r="E191" s="30">
        <f>27360/18*9</f>
        <v>13680</v>
      </c>
      <c r="F191" s="31">
        <v>2</v>
      </c>
      <c r="G191" s="30">
        <f t="shared" si="5"/>
        <v>27360</v>
      </c>
      <c r="H191" s="32">
        <v>0.5</v>
      </c>
      <c r="I191" s="30">
        <f t="shared" si="6"/>
        <v>13600</v>
      </c>
      <c r="J191" s="35" t="s">
        <v>423</v>
      </c>
      <c r="K191" s="36"/>
      <c r="L191" s="36"/>
      <c r="M191" s="36"/>
      <c r="N191" s="36"/>
      <c r="O191" s="36"/>
      <c r="P191" s="36"/>
      <c r="Q191" s="36"/>
      <c r="R191" s="36"/>
      <c r="S191" s="36"/>
    </row>
    <row r="192" spans="1:19">
      <c r="A192" s="26">
        <v>189</v>
      </c>
      <c r="B192" s="26" t="s">
        <v>28</v>
      </c>
      <c r="C192" s="26" t="s">
        <v>204</v>
      </c>
      <c r="D192" s="26" t="s">
        <v>44</v>
      </c>
      <c r="E192" s="30">
        <f>34500/20*9</f>
        <v>15525</v>
      </c>
      <c r="F192" s="31">
        <v>2</v>
      </c>
      <c r="G192" s="30">
        <f t="shared" si="5"/>
        <v>31050</v>
      </c>
      <c r="H192" s="32">
        <v>0.5</v>
      </c>
      <c r="I192" s="30">
        <f t="shared" si="6"/>
        <v>15500</v>
      </c>
      <c r="J192" s="35"/>
      <c r="K192" s="36"/>
      <c r="L192" s="36"/>
      <c r="M192" s="36"/>
      <c r="N192" s="36"/>
      <c r="O192" s="36"/>
      <c r="P192" s="36"/>
      <c r="Q192" s="36"/>
      <c r="R192" s="36"/>
      <c r="S192" s="36"/>
    </row>
    <row r="193" spans="1:19">
      <c r="A193" s="26">
        <v>190</v>
      </c>
      <c r="B193" s="26" t="s">
        <v>28</v>
      </c>
      <c r="C193" s="26" t="s">
        <v>49</v>
      </c>
      <c r="D193" s="26" t="s">
        <v>44</v>
      </c>
      <c r="E193" s="30">
        <f>27600/16*9</f>
        <v>15525</v>
      </c>
      <c r="F193" s="31">
        <v>1</v>
      </c>
      <c r="G193" s="30">
        <f t="shared" si="5"/>
        <v>15525</v>
      </c>
      <c r="H193" s="32">
        <v>0.5</v>
      </c>
      <c r="I193" s="30">
        <f t="shared" si="6"/>
        <v>7700</v>
      </c>
      <c r="J193" s="35"/>
      <c r="K193" s="36"/>
      <c r="L193" s="36"/>
      <c r="M193" s="36"/>
      <c r="N193" s="36"/>
      <c r="O193" s="36"/>
      <c r="P193" s="36"/>
      <c r="Q193" s="36"/>
      <c r="R193" s="36"/>
      <c r="S193" s="36"/>
    </row>
    <row r="194" spans="1:19">
      <c r="A194" s="26">
        <v>191</v>
      </c>
      <c r="B194" s="26" t="s">
        <v>67</v>
      </c>
      <c r="C194" s="26" t="s">
        <v>429</v>
      </c>
      <c r="D194" s="26" t="s">
        <v>44</v>
      </c>
      <c r="E194" s="30">
        <f>69000/40*9</f>
        <v>15525</v>
      </c>
      <c r="F194" s="31">
        <v>2</v>
      </c>
      <c r="G194" s="30">
        <f t="shared" si="5"/>
        <v>31050</v>
      </c>
      <c r="H194" s="32">
        <v>0.5</v>
      </c>
      <c r="I194" s="30">
        <f t="shared" si="6"/>
        <v>15500</v>
      </c>
      <c r="J194" s="35"/>
      <c r="K194" s="36"/>
      <c r="L194" s="36"/>
      <c r="M194" s="36"/>
      <c r="N194" s="36"/>
      <c r="O194" s="36"/>
      <c r="P194" s="36"/>
      <c r="Q194" s="36"/>
      <c r="R194" s="36"/>
      <c r="S194" s="36"/>
    </row>
    <row r="195" spans="1:19">
      <c r="A195" s="26">
        <v>192</v>
      </c>
      <c r="B195" s="26" t="s">
        <v>28</v>
      </c>
      <c r="C195" s="26" t="s">
        <v>209</v>
      </c>
      <c r="D195" s="26" t="s">
        <v>44</v>
      </c>
      <c r="E195" s="30">
        <f>48300/28*9</f>
        <v>15525</v>
      </c>
      <c r="F195" s="31">
        <v>2</v>
      </c>
      <c r="G195" s="30">
        <f t="shared" si="5"/>
        <v>31050</v>
      </c>
      <c r="H195" s="32">
        <v>0.5</v>
      </c>
      <c r="I195" s="30">
        <f t="shared" si="6"/>
        <v>15500</v>
      </c>
      <c r="J195" s="35"/>
      <c r="K195" s="36"/>
      <c r="L195" s="36"/>
      <c r="M195" s="36"/>
      <c r="N195" s="36"/>
      <c r="O195" s="36"/>
      <c r="P195" s="36"/>
      <c r="Q195" s="36"/>
      <c r="R195" s="36"/>
      <c r="S195" s="36"/>
    </row>
    <row r="196" spans="1:19">
      <c r="A196" s="26">
        <v>193</v>
      </c>
      <c r="B196" s="26" t="s">
        <v>28</v>
      </c>
      <c r="C196" s="26" t="s">
        <v>203</v>
      </c>
      <c r="D196" s="26" t="s">
        <v>44</v>
      </c>
      <c r="E196" s="30">
        <f>25875/15*9</f>
        <v>15525</v>
      </c>
      <c r="F196" s="31">
        <v>1</v>
      </c>
      <c r="G196" s="30">
        <f t="shared" ref="G196:G255" si="7">E196*F196</f>
        <v>15525</v>
      </c>
      <c r="H196" s="32">
        <v>0.5</v>
      </c>
      <c r="I196" s="30">
        <f t="shared" ref="I196:I255" si="8">ROUNDDOWN(G196*H196,-2)</f>
        <v>7700</v>
      </c>
      <c r="J196" s="35" t="s">
        <v>430</v>
      </c>
      <c r="K196" s="36"/>
      <c r="L196" s="36"/>
      <c r="M196" s="36"/>
      <c r="N196" s="36"/>
      <c r="O196" s="36"/>
      <c r="P196" s="36"/>
      <c r="Q196" s="36"/>
      <c r="R196" s="36"/>
      <c r="S196" s="36"/>
    </row>
    <row r="197" spans="1:19">
      <c r="A197" s="26">
        <v>194</v>
      </c>
      <c r="B197" s="26" t="s">
        <v>28</v>
      </c>
      <c r="C197" s="26" t="s">
        <v>307</v>
      </c>
      <c r="D197" s="26" t="s">
        <v>44</v>
      </c>
      <c r="E197" s="30">
        <f>34500/20*9</f>
        <v>15525</v>
      </c>
      <c r="F197" s="31">
        <v>2</v>
      </c>
      <c r="G197" s="30">
        <f t="shared" si="7"/>
        <v>31050</v>
      </c>
      <c r="H197" s="32">
        <v>0.5</v>
      </c>
      <c r="I197" s="30">
        <f t="shared" si="8"/>
        <v>15500</v>
      </c>
      <c r="J197" s="35" t="s">
        <v>430</v>
      </c>
      <c r="K197" s="36"/>
      <c r="L197" s="36"/>
      <c r="M197" s="36"/>
      <c r="N197" s="36"/>
      <c r="O197" s="36"/>
      <c r="P197" s="36"/>
      <c r="Q197" s="36"/>
      <c r="R197" s="36"/>
      <c r="S197" s="36"/>
    </row>
    <row r="198" spans="1:19">
      <c r="A198" s="26">
        <v>195</v>
      </c>
      <c r="B198" s="26" t="s">
        <v>28</v>
      </c>
      <c r="C198" s="26" t="s">
        <v>431</v>
      </c>
      <c r="D198" s="26" t="s">
        <v>44</v>
      </c>
      <c r="E198" s="30">
        <f>28800/18*9</f>
        <v>14400</v>
      </c>
      <c r="F198" s="31">
        <v>2</v>
      </c>
      <c r="G198" s="30">
        <f t="shared" si="7"/>
        <v>28800</v>
      </c>
      <c r="H198" s="32">
        <v>0.5</v>
      </c>
      <c r="I198" s="30">
        <f t="shared" si="8"/>
        <v>14400</v>
      </c>
      <c r="J198" s="35" t="s">
        <v>423</v>
      </c>
      <c r="K198" s="36"/>
      <c r="L198" s="36"/>
      <c r="M198" s="36"/>
      <c r="N198" s="36"/>
      <c r="O198" s="36"/>
      <c r="P198" s="36"/>
      <c r="Q198" s="36"/>
      <c r="R198" s="36"/>
      <c r="S198" s="36"/>
    </row>
    <row r="199" spans="1:19">
      <c r="A199" s="26">
        <v>196</v>
      </c>
      <c r="B199" s="26" t="s">
        <v>13</v>
      </c>
      <c r="C199" s="26" t="s">
        <v>157</v>
      </c>
      <c r="D199" s="26" t="s">
        <v>20</v>
      </c>
      <c r="E199" s="30">
        <f>83952/36*9</f>
        <v>20988</v>
      </c>
      <c r="F199" s="31">
        <v>2</v>
      </c>
      <c r="G199" s="30">
        <f t="shared" si="7"/>
        <v>41976</v>
      </c>
      <c r="H199" s="32">
        <v>0.5</v>
      </c>
      <c r="I199" s="30">
        <f t="shared" si="8"/>
        <v>20900</v>
      </c>
      <c r="J199" s="35"/>
      <c r="K199" s="36"/>
      <c r="L199" s="36"/>
      <c r="M199" s="36"/>
      <c r="N199" s="36"/>
      <c r="O199" s="36"/>
      <c r="P199" s="36"/>
      <c r="Q199" s="36"/>
      <c r="R199" s="36"/>
      <c r="S199" s="36"/>
    </row>
    <row r="200" spans="1:19">
      <c r="A200" s="26">
        <v>197</v>
      </c>
      <c r="B200" s="26" t="s">
        <v>28</v>
      </c>
      <c r="C200" s="26" t="s">
        <v>432</v>
      </c>
      <c r="D200" s="26" t="s">
        <v>15</v>
      </c>
      <c r="E200" s="30">
        <f>62400/6</f>
        <v>10400</v>
      </c>
      <c r="F200" s="31">
        <v>2</v>
      </c>
      <c r="G200" s="30">
        <f t="shared" si="7"/>
        <v>20800</v>
      </c>
      <c r="H200" s="32">
        <v>0.5</v>
      </c>
      <c r="I200" s="30">
        <f t="shared" si="8"/>
        <v>10400</v>
      </c>
      <c r="J200" s="35"/>
      <c r="K200" s="36"/>
      <c r="L200" s="36"/>
      <c r="M200" s="36"/>
      <c r="N200" s="36"/>
      <c r="O200" s="36"/>
      <c r="P200" s="36"/>
      <c r="Q200" s="36"/>
      <c r="R200" s="36"/>
      <c r="S200" s="36"/>
    </row>
    <row r="201" ht="27" spans="1:19">
      <c r="A201" s="26">
        <v>198</v>
      </c>
      <c r="B201" s="26" t="s">
        <v>25</v>
      </c>
      <c r="C201" s="26" t="s">
        <v>136</v>
      </c>
      <c r="D201" s="26" t="s">
        <v>15</v>
      </c>
      <c r="E201" s="30">
        <f>41600/4</f>
        <v>10400</v>
      </c>
      <c r="F201" s="31">
        <v>2</v>
      </c>
      <c r="G201" s="30">
        <f t="shared" si="7"/>
        <v>20800</v>
      </c>
      <c r="H201" s="32">
        <v>0.5</v>
      </c>
      <c r="I201" s="30">
        <f t="shared" si="8"/>
        <v>10400</v>
      </c>
      <c r="J201" s="35" t="s">
        <v>433</v>
      </c>
      <c r="K201" s="36"/>
      <c r="L201" s="36"/>
      <c r="M201" s="36"/>
      <c r="N201" s="36"/>
      <c r="O201" s="36"/>
      <c r="P201" s="36"/>
      <c r="Q201" s="36"/>
      <c r="R201" s="36"/>
      <c r="S201" s="36"/>
    </row>
    <row r="202" spans="1:19">
      <c r="A202" s="26">
        <v>199</v>
      </c>
      <c r="B202" s="26" t="s">
        <v>25</v>
      </c>
      <c r="C202" s="26" t="s">
        <v>171</v>
      </c>
      <c r="D202" s="26" t="s">
        <v>30</v>
      </c>
      <c r="E202" s="30">
        <v>16800</v>
      </c>
      <c r="F202" s="31">
        <v>1</v>
      </c>
      <c r="G202" s="30">
        <f t="shared" si="7"/>
        <v>16800</v>
      </c>
      <c r="H202" s="32">
        <v>0.5</v>
      </c>
      <c r="I202" s="30">
        <f t="shared" si="8"/>
        <v>8400</v>
      </c>
      <c r="J202" s="35" t="s">
        <v>434</v>
      </c>
      <c r="K202" s="36"/>
      <c r="L202" s="36"/>
      <c r="M202" s="36"/>
      <c r="N202" s="36"/>
      <c r="O202" s="36"/>
      <c r="P202" s="36"/>
      <c r="Q202" s="36"/>
      <c r="R202" s="36"/>
      <c r="S202" s="36"/>
    </row>
    <row r="203" spans="1:19">
      <c r="A203" s="26">
        <v>200</v>
      </c>
      <c r="B203" s="26" t="s">
        <v>13</v>
      </c>
      <c r="C203" s="26" t="s">
        <v>140</v>
      </c>
      <c r="D203" s="26" t="s">
        <v>30</v>
      </c>
      <c r="E203" s="30">
        <v>16800</v>
      </c>
      <c r="F203" s="31">
        <v>2</v>
      </c>
      <c r="G203" s="30">
        <f t="shared" si="7"/>
        <v>33600</v>
      </c>
      <c r="H203" s="32">
        <v>0.5</v>
      </c>
      <c r="I203" s="30">
        <f t="shared" si="8"/>
        <v>16800</v>
      </c>
      <c r="J203" s="35" t="s">
        <v>434</v>
      </c>
      <c r="K203" s="36"/>
      <c r="L203" s="36"/>
      <c r="M203" s="36"/>
      <c r="N203" s="36"/>
      <c r="O203" s="36"/>
      <c r="P203" s="36"/>
      <c r="Q203" s="36"/>
      <c r="R203" s="36"/>
      <c r="S203" s="36"/>
    </row>
    <row r="204" spans="1:19">
      <c r="A204" s="26">
        <v>201</v>
      </c>
      <c r="B204" s="26" t="s">
        <v>25</v>
      </c>
      <c r="C204" s="26" t="s">
        <v>148</v>
      </c>
      <c r="D204" s="26" t="s">
        <v>15</v>
      </c>
      <c r="E204" s="30">
        <f>115200/72*9</f>
        <v>14400</v>
      </c>
      <c r="F204" s="31">
        <v>2</v>
      </c>
      <c r="G204" s="30">
        <f t="shared" si="7"/>
        <v>28800</v>
      </c>
      <c r="H204" s="32">
        <v>0.5</v>
      </c>
      <c r="I204" s="30">
        <f t="shared" si="8"/>
        <v>14400</v>
      </c>
      <c r="J204" s="35" t="s">
        <v>435</v>
      </c>
      <c r="K204" s="36"/>
      <c r="L204" s="36"/>
      <c r="M204" s="36"/>
      <c r="N204" s="36"/>
      <c r="O204" s="36"/>
      <c r="P204" s="36"/>
      <c r="Q204" s="36"/>
      <c r="R204" s="36"/>
      <c r="S204" s="36"/>
    </row>
    <row r="205" spans="1:19">
      <c r="A205" s="26">
        <v>202</v>
      </c>
      <c r="B205" s="26" t="s">
        <v>28</v>
      </c>
      <c r="C205" s="26" t="s">
        <v>436</v>
      </c>
      <c r="D205" s="26" t="s">
        <v>44</v>
      </c>
      <c r="E205" s="30">
        <f>281250/225*9</f>
        <v>11250</v>
      </c>
      <c r="F205" s="31">
        <v>2</v>
      </c>
      <c r="G205" s="30">
        <f t="shared" si="7"/>
        <v>22500</v>
      </c>
      <c r="H205" s="32">
        <v>0.5</v>
      </c>
      <c r="I205" s="30">
        <f t="shared" si="8"/>
        <v>11200</v>
      </c>
      <c r="J205" s="35" t="s">
        <v>423</v>
      </c>
      <c r="K205" s="36"/>
      <c r="L205" s="36"/>
      <c r="M205" s="36"/>
      <c r="N205" s="36"/>
      <c r="O205" s="36"/>
      <c r="P205" s="36"/>
      <c r="Q205" s="36"/>
      <c r="R205" s="36"/>
      <c r="S205" s="36"/>
    </row>
    <row r="206" spans="1:19">
      <c r="A206" s="26">
        <v>203</v>
      </c>
      <c r="B206" s="26" t="s">
        <v>28</v>
      </c>
      <c r="C206" s="26" t="s">
        <v>236</v>
      </c>
      <c r="D206" s="26" t="s">
        <v>30</v>
      </c>
      <c r="E206" s="30">
        <v>16800</v>
      </c>
      <c r="F206" s="31">
        <v>2</v>
      </c>
      <c r="G206" s="30">
        <f t="shared" si="7"/>
        <v>33600</v>
      </c>
      <c r="H206" s="32">
        <v>0.5</v>
      </c>
      <c r="I206" s="30">
        <f t="shared" si="8"/>
        <v>16800</v>
      </c>
      <c r="J206" s="35" t="s">
        <v>434</v>
      </c>
      <c r="K206" s="36"/>
      <c r="L206" s="36"/>
      <c r="M206" s="36"/>
      <c r="N206" s="36"/>
      <c r="O206" s="36"/>
      <c r="P206" s="36"/>
      <c r="Q206" s="36"/>
      <c r="R206" s="36"/>
      <c r="S206" s="36"/>
    </row>
    <row r="207" ht="54" spans="1:19">
      <c r="A207" s="26">
        <v>204</v>
      </c>
      <c r="B207" s="26" t="s">
        <v>13</v>
      </c>
      <c r="C207" s="25" t="s">
        <v>437</v>
      </c>
      <c r="D207" s="26" t="s">
        <v>20</v>
      </c>
      <c r="E207" s="30">
        <f>114480/54*9</f>
        <v>19080</v>
      </c>
      <c r="F207" s="31">
        <v>2</v>
      </c>
      <c r="G207" s="30">
        <f t="shared" si="7"/>
        <v>38160</v>
      </c>
      <c r="H207" s="32">
        <v>0.5</v>
      </c>
      <c r="I207" s="30">
        <f t="shared" si="8"/>
        <v>19000</v>
      </c>
      <c r="J207" s="35" t="s">
        <v>438</v>
      </c>
      <c r="K207" s="36"/>
      <c r="L207" s="36"/>
      <c r="M207" s="36"/>
      <c r="N207" s="36"/>
      <c r="O207" s="36"/>
      <c r="P207" s="36"/>
      <c r="Q207" s="36"/>
      <c r="R207" s="36"/>
      <c r="S207" s="36"/>
    </row>
    <row r="208" ht="54" spans="1:19">
      <c r="A208" s="26">
        <v>205</v>
      </c>
      <c r="B208" s="26" t="s">
        <v>28</v>
      </c>
      <c r="C208" s="26" t="s">
        <v>94</v>
      </c>
      <c r="D208" s="26" t="s">
        <v>44</v>
      </c>
      <c r="E208" s="30">
        <f>27360/18*9</f>
        <v>13680</v>
      </c>
      <c r="F208" s="31">
        <v>2</v>
      </c>
      <c r="G208" s="30">
        <f t="shared" si="7"/>
        <v>27360</v>
      </c>
      <c r="H208" s="32">
        <v>0.5</v>
      </c>
      <c r="I208" s="30">
        <f t="shared" si="8"/>
        <v>13600</v>
      </c>
      <c r="J208" s="35" t="s">
        <v>439</v>
      </c>
      <c r="K208" s="36"/>
      <c r="L208" s="36"/>
      <c r="M208" s="36"/>
      <c r="N208" s="36"/>
      <c r="O208" s="36"/>
      <c r="P208" s="36" t="s">
        <v>440</v>
      </c>
      <c r="Q208" s="36"/>
      <c r="R208" s="36"/>
      <c r="S208" s="36"/>
    </row>
    <row r="209" spans="1:19">
      <c r="A209" s="26">
        <v>206</v>
      </c>
      <c r="B209" s="26" t="s">
        <v>28</v>
      </c>
      <c r="C209" s="26" t="s">
        <v>94</v>
      </c>
      <c r="D209" s="26" t="s">
        <v>30</v>
      </c>
      <c r="E209" s="30">
        <v>16800</v>
      </c>
      <c r="F209" s="31">
        <v>1</v>
      </c>
      <c r="G209" s="30">
        <f t="shared" si="7"/>
        <v>16800</v>
      </c>
      <c r="H209" s="32">
        <v>0.5</v>
      </c>
      <c r="I209" s="30">
        <f t="shared" si="8"/>
        <v>8400</v>
      </c>
      <c r="J209" s="35"/>
      <c r="K209" s="36"/>
      <c r="L209" s="36"/>
      <c r="M209" s="36"/>
      <c r="N209" s="36"/>
      <c r="O209" s="36"/>
      <c r="P209" s="36"/>
      <c r="Q209" s="36"/>
      <c r="R209" s="36"/>
      <c r="S209" s="36"/>
    </row>
    <row r="210" spans="1:19">
      <c r="A210" s="26">
        <v>207</v>
      </c>
      <c r="B210" s="26" t="s">
        <v>28</v>
      </c>
      <c r="C210" s="26" t="s">
        <v>441</v>
      </c>
      <c r="D210" s="26" t="s">
        <v>15</v>
      </c>
      <c r="E210" s="30">
        <f>94000/10</f>
        <v>9400</v>
      </c>
      <c r="F210" s="31">
        <v>2</v>
      </c>
      <c r="G210" s="30">
        <f t="shared" si="7"/>
        <v>18800</v>
      </c>
      <c r="H210" s="32">
        <v>0.5</v>
      </c>
      <c r="I210" s="30">
        <f t="shared" si="8"/>
        <v>9400</v>
      </c>
      <c r="J210" s="35"/>
      <c r="K210" s="36"/>
      <c r="L210" s="36"/>
      <c r="M210" s="36"/>
      <c r="N210" s="36"/>
      <c r="O210" s="36"/>
      <c r="P210" s="36"/>
      <c r="Q210" s="36"/>
      <c r="R210" s="36"/>
      <c r="S210" s="36"/>
    </row>
    <row r="211" spans="1:19">
      <c r="A211" s="26">
        <v>208</v>
      </c>
      <c r="B211" s="26" t="s">
        <v>28</v>
      </c>
      <c r="C211" s="26" t="s">
        <v>442</v>
      </c>
      <c r="D211" s="26" t="s">
        <v>15</v>
      </c>
      <c r="E211" s="30">
        <f>84600/9</f>
        <v>9400</v>
      </c>
      <c r="F211" s="31">
        <v>2</v>
      </c>
      <c r="G211" s="30">
        <f t="shared" si="7"/>
        <v>18800</v>
      </c>
      <c r="H211" s="32">
        <v>0.5</v>
      </c>
      <c r="I211" s="30">
        <f t="shared" si="8"/>
        <v>9400</v>
      </c>
      <c r="J211" s="35" t="s">
        <v>435</v>
      </c>
      <c r="K211" s="36" t="s">
        <v>443</v>
      </c>
      <c r="L211" s="36"/>
      <c r="M211" s="36"/>
      <c r="N211" s="36"/>
      <c r="O211" s="36"/>
      <c r="P211" s="36"/>
      <c r="Q211" s="36"/>
      <c r="R211" s="36"/>
      <c r="S211" s="36"/>
    </row>
    <row r="212" spans="1:19">
      <c r="A212" s="26">
        <v>209</v>
      </c>
      <c r="B212" s="26" t="s">
        <v>28</v>
      </c>
      <c r="C212" s="26" t="s">
        <v>444</v>
      </c>
      <c r="D212" s="26" t="s">
        <v>15</v>
      </c>
      <c r="E212" s="30">
        <f>37600/4</f>
        <v>9400</v>
      </c>
      <c r="F212" s="31">
        <v>2</v>
      </c>
      <c r="G212" s="30">
        <f t="shared" si="7"/>
        <v>18800</v>
      </c>
      <c r="H212" s="32">
        <v>0.5</v>
      </c>
      <c r="I212" s="30">
        <f t="shared" si="8"/>
        <v>9400</v>
      </c>
      <c r="J212" s="20" t="s">
        <v>435</v>
      </c>
      <c r="K212" s="36"/>
      <c r="L212" s="36"/>
      <c r="M212" s="36"/>
      <c r="N212" s="36"/>
      <c r="O212" s="36"/>
      <c r="P212" s="36"/>
      <c r="Q212" s="36"/>
      <c r="R212" s="36"/>
      <c r="S212" s="36"/>
    </row>
    <row r="213" ht="40.5" spans="1:19">
      <c r="A213" s="26">
        <v>210</v>
      </c>
      <c r="B213" s="26" t="s">
        <v>13</v>
      </c>
      <c r="C213" s="26" t="s">
        <v>243</v>
      </c>
      <c r="D213" s="26" t="s">
        <v>15</v>
      </c>
      <c r="E213" s="30">
        <f>41600/4</f>
        <v>10400</v>
      </c>
      <c r="F213" s="31">
        <v>2</v>
      </c>
      <c r="G213" s="30">
        <f t="shared" si="7"/>
        <v>20800</v>
      </c>
      <c r="H213" s="32">
        <v>0.5</v>
      </c>
      <c r="I213" s="30">
        <f t="shared" si="8"/>
        <v>10400</v>
      </c>
      <c r="J213" s="35" t="s">
        <v>445</v>
      </c>
      <c r="K213" s="36"/>
      <c r="L213" s="36"/>
      <c r="M213" s="36"/>
      <c r="N213" s="36"/>
      <c r="O213" s="36"/>
      <c r="P213" s="36"/>
      <c r="Q213" s="36"/>
      <c r="R213" s="36"/>
      <c r="S213" s="36"/>
    </row>
    <row r="214" spans="1:19">
      <c r="A214" s="26">
        <v>211</v>
      </c>
      <c r="B214" s="26" t="s">
        <v>28</v>
      </c>
      <c r="C214" s="26" t="s">
        <v>446</v>
      </c>
      <c r="D214" s="26" t="s">
        <v>131</v>
      </c>
      <c r="E214" s="30">
        <f>32400/36*9</f>
        <v>8100</v>
      </c>
      <c r="F214" s="31">
        <v>2</v>
      </c>
      <c r="G214" s="30">
        <f t="shared" si="7"/>
        <v>16200</v>
      </c>
      <c r="H214" s="32">
        <v>0.5</v>
      </c>
      <c r="I214" s="30">
        <f t="shared" si="8"/>
        <v>8100</v>
      </c>
      <c r="J214" s="35" t="s">
        <v>422</v>
      </c>
      <c r="K214" s="36"/>
      <c r="L214" s="36"/>
      <c r="M214" s="36"/>
      <c r="N214" s="36"/>
      <c r="O214" s="36"/>
      <c r="P214" s="36"/>
      <c r="Q214" s="36"/>
      <c r="R214" s="36"/>
      <c r="S214" s="36"/>
    </row>
    <row r="215" spans="1:19">
      <c r="A215" s="26">
        <v>212</v>
      </c>
      <c r="B215" s="26" t="s">
        <v>18</v>
      </c>
      <c r="C215" s="26" t="s">
        <v>447</v>
      </c>
      <c r="D215" s="26" t="s">
        <v>109</v>
      </c>
      <c r="E215" s="30">
        <v>8000</v>
      </c>
      <c r="F215" s="31">
        <v>2</v>
      </c>
      <c r="G215" s="30">
        <f t="shared" si="7"/>
        <v>16000</v>
      </c>
      <c r="H215" s="32">
        <v>0.5</v>
      </c>
      <c r="I215" s="30">
        <f t="shared" si="8"/>
        <v>8000</v>
      </c>
      <c r="J215" s="35"/>
      <c r="K215" s="36"/>
      <c r="L215" s="36"/>
      <c r="M215" s="36"/>
      <c r="N215" s="36"/>
      <c r="O215" s="36"/>
      <c r="P215" s="36"/>
      <c r="Q215" s="36"/>
      <c r="R215" s="36"/>
      <c r="S215" s="36"/>
    </row>
    <row r="216" spans="1:19">
      <c r="A216" s="26">
        <v>213</v>
      </c>
      <c r="B216" s="26" t="s">
        <v>13</v>
      </c>
      <c r="C216" s="26" t="s">
        <v>448</v>
      </c>
      <c r="D216" s="26" t="s">
        <v>109</v>
      </c>
      <c r="E216" s="30">
        <v>8000</v>
      </c>
      <c r="F216" s="31">
        <v>2</v>
      </c>
      <c r="G216" s="30">
        <f t="shared" si="7"/>
        <v>16000</v>
      </c>
      <c r="H216" s="32">
        <v>0.5</v>
      </c>
      <c r="I216" s="30">
        <f t="shared" si="8"/>
        <v>8000</v>
      </c>
      <c r="J216" s="35"/>
      <c r="K216" s="36"/>
      <c r="L216" s="36"/>
      <c r="M216" s="36"/>
      <c r="N216" s="36"/>
      <c r="O216" s="36"/>
      <c r="P216" s="36"/>
      <c r="Q216" s="36"/>
      <c r="R216" s="36"/>
      <c r="S216" s="36"/>
    </row>
    <row r="217" ht="27" spans="1:19">
      <c r="A217" s="26">
        <v>214</v>
      </c>
      <c r="B217" s="26" t="s">
        <v>28</v>
      </c>
      <c r="C217" s="26" t="s">
        <v>449</v>
      </c>
      <c r="D217" s="26" t="s">
        <v>44</v>
      </c>
      <c r="E217" s="30">
        <f>60000/48*9</f>
        <v>11250</v>
      </c>
      <c r="F217" s="31">
        <v>2</v>
      </c>
      <c r="G217" s="30">
        <f t="shared" si="7"/>
        <v>22500</v>
      </c>
      <c r="H217" s="32">
        <v>0.5</v>
      </c>
      <c r="I217" s="30">
        <f t="shared" si="8"/>
        <v>11200</v>
      </c>
      <c r="J217" s="35" t="s">
        <v>450</v>
      </c>
      <c r="K217" s="36"/>
      <c r="L217" s="36"/>
      <c r="M217" s="36"/>
      <c r="N217" s="36"/>
      <c r="O217" s="36"/>
      <c r="P217" s="36"/>
      <c r="Q217" s="36"/>
      <c r="R217" s="36"/>
      <c r="S217" s="36"/>
    </row>
    <row r="218" spans="1:19">
      <c r="A218" s="26">
        <v>215</v>
      </c>
      <c r="B218" s="26" t="s">
        <v>21</v>
      </c>
      <c r="C218" s="26" t="s">
        <v>451</v>
      </c>
      <c r="D218" s="26" t="s">
        <v>109</v>
      </c>
      <c r="E218" s="30">
        <v>4000</v>
      </c>
      <c r="F218" s="31">
        <v>2</v>
      </c>
      <c r="G218" s="30">
        <f t="shared" si="7"/>
        <v>8000</v>
      </c>
      <c r="H218" s="32">
        <v>0.5</v>
      </c>
      <c r="I218" s="30">
        <f t="shared" si="8"/>
        <v>4000</v>
      </c>
      <c r="J218" s="35"/>
      <c r="K218" s="36"/>
      <c r="L218" s="36"/>
      <c r="M218" s="36"/>
      <c r="N218" s="36"/>
      <c r="O218" s="36"/>
      <c r="P218" s="36"/>
      <c r="Q218" s="36"/>
      <c r="R218" s="36"/>
      <c r="S218" s="36"/>
    </row>
    <row r="219" spans="1:19">
      <c r="A219" s="26">
        <v>216</v>
      </c>
      <c r="B219" s="26" t="s">
        <v>452</v>
      </c>
      <c r="C219" s="26" t="s">
        <v>453</v>
      </c>
      <c r="D219" s="26" t="s">
        <v>382</v>
      </c>
      <c r="E219" s="30">
        <v>10000</v>
      </c>
      <c r="F219" s="31">
        <v>1</v>
      </c>
      <c r="G219" s="30">
        <f t="shared" si="7"/>
        <v>10000</v>
      </c>
      <c r="H219" s="32">
        <v>0.5</v>
      </c>
      <c r="I219" s="30">
        <f t="shared" si="8"/>
        <v>5000</v>
      </c>
      <c r="J219" s="35"/>
      <c r="K219" s="36"/>
      <c r="L219" s="36"/>
      <c r="M219" s="36"/>
      <c r="N219" s="36"/>
      <c r="O219" s="36"/>
      <c r="P219" s="36"/>
      <c r="Q219" s="36"/>
      <c r="R219" s="36"/>
      <c r="S219" s="36"/>
    </row>
    <row r="220" ht="27" spans="1:19">
      <c r="A220" s="26">
        <v>217</v>
      </c>
      <c r="B220" s="26" t="s">
        <v>23</v>
      </c>
      <c r="C220" s="26" t="s">
        <v>391</v>
      </c>
      <c r="D220" s="26" t="s">
        <v>58</v>
      </c>
      <c r="E220" s="30">
        <v>19440</v>
      </c>
      <c r="F220" s="31">
        <v>1</v>
      </c>
      <c r="G220" s="30">
        <f t="shared" si="7"/>
        <v>19440</v>
      </c>
      <c r="H220" s="32">
        <v>0.5</v>
      </c>
      <c r="I220" s="30">
        <f t="shared" si="8"/>
        <v>9700</v>
      </c>
      <c r="J220" s="35" t="s">
        <v>454</v>
      </c>
      <c r="K220" s="36"/>
      <c r="L220" s="36"/>
      <c r="M220" s="36"/>
      <c r="N220" s="36"/>
      <c r="O220" s="36"/>
      <c r="P220" s="36"/>
      <c r="Q220" s="36"/>
      <c r="R220" s="36"/>
      <c r="S220" s="36"/>
    </row>
    <row r="221" spans="1:19">
      <c r="A221" s="26">
        <v>218</v>
      </c>
      <c r="B221" s="26" t="s">
        <v>23</v>
      </c>
      <c r="C221" s="26" t="s">
        <v>391</v>
      </c>
      <c r="D221" s="26" t="s">
        <v>109</v>
      </c>
      <c r="E221" s="30">
        <v>4000</v>
      </c>
      <c r="F221" s="31">
        <v>2</v>
      </c>
      <c r="G221" s="30">
        <f t="shared" si="7"/>
        <v>8000</v>
      </c>
      <c r="H221" s="32">
        <v>0.5</v>
      </c>
      <c r="I221" s="30">
        <f t="shared" si="8"/>
        <v>4000</v>
      </c>
      <c r="J221" s="35"/>
      <c r="K221" s="36"/>
      <c r="L221" s="36"/>
      <c r="M221" s="36"/>
      <c r="N221" s="36"/>
      <c r="O221" s="36"/>
      <c r="P221" s="36"/>
      <c r="Q221" s="36"/>
      <c r="R221" s="36"/>
      <c r="S221" s="36"/>
    </row>
    <row r="222" spans="1:19">
      <c r="A222" s="26">
        <v>219</v>
      </c>
      <c r="B222" s="26" t="s">
        <v>28</v>
      </c>
      <c r="C222" s="26" t="s">
        <v>101</v>
      </c>
      <c r="D222" s="26" t="s">
        <v>15</v>
      </c>
      <c r="E222" s="30">
        <f>136800/72*9</f>
        <v>17100</v>
      </c>
      <c r="F222" s="31">
        <v>2</v>
      </c>
      <c r="G222" s="30">
        <f t="shared" si="7"/>
        <v>34200</v>
      </c>
      <c r="H222" s="32">
        <v>0.5</v>
      </c>
      <c r="I222" s="30">
        <f t="shared" si="8"/>
        <v>17100</v>
      </c>
      <c r="J222" s="35"/>
      <c r="K222" s="36"/>
      <c r="L222" s="36"/>
      <c r="M222" s="36"/>
      <c r="N222" s="36"/>
      <c r="O222" s="36"/>
      <c r="P222" s="36"/>
      <c r="Q222" s="36"/>
      <c r="R222" s="36"/>
      <c r="S222" s="36"/>
    </row>
    <row r="223" spans="1:19">
      <c r="A223" s="26">
        <v>220</v>
      </c>
      <c r="B223" s="26" t="s">
        <v>28</v>
      </c>
      <c r="C223" s="26" t="s">
        <v>47</v>
      </c>
      <c r="D223" s="26" t="s">
        <v>44</v>
      </c>
      <c r="E223" s="30">
        <f>20700/12*9</f>
        <v>15525</v>
      </c>
      <c r="F223" s="31">
        <v>1</v>
      </c>
      <c r="G223" s="30">
        <f t="shared" si="7"/>
        <v>15525</v>
      </c>
      <c r="H223" s="32">
        <v>0.5</v>
      </c>
      <c r="I223" s="30">
        <f t="shared" si="8"/>
        <v>7700</v>
      </c>
      <c r="J223" s="35"/>
      <c r="K223" s="36"/>
      <c r="L223" s="36"/>
      <c r="M223" s="36"/>
      <c r="N223" s="36"/>
      <c r="O223" s="36"/>
      <c r="P223" s="36"/>
      <c r="Q223" s="36"/>
      <c r="R223" s="36"/>
      <c r="S223" s="36"/>
    </row>
    <row r="224" spans="1:19">
      <c r="A224" s="26">
        <v>221</v>
      </c>
      <c r="B224" s="26" t="s">
        <v>28</v>
      </c>
      <c r="C224" s="26" t="s">
        <v>310</v>
      </c>
      <c r="D224" s="26" t="s">
        <v>44</v>
      </c>
      <c r="E224" s="30">
        <f>41400/24*9</f>
        <v>15525</v>
      </c>
      <c r="F224" s="31">
        <v>2</v>
      </c>
      <c r="G224" s="30">
        <f t="shared" si="7"/>
        <v>31050</v>
      </c>
      <c r="H224" s="32">
        <v>0.5</v>
      </c>
      <c r="I224" s="30">
        <f t="shared" si="8"/>
        <v>15500</v>
      </c>
      <c r="J224" s="35"/>
      <c r="K224" s="36"/>
      <c r="L224" s="36"/>
      <c r="M224" s="36"/>
      <c r="N224" s="36"/>
      <c r="O224" s="36"/>
      <c r="P224" s="36"/>
      <c r="Q224" s="36"/>
      <c r="R224" s="36"/>
      <c r="S224" s="36"/>
    </row>
    <row r="225" spans="1:19">
      <c r="A225" s="26">
        <v>222</v>
      </c>
      <c r="B225" s="26" t="s">
        <v>28</v>
      </c>
      <c r="C225" s="26" t="s">
        <v>205</v>
      </c>
      <c r="D225" s="26" t="s">
        <v>44</v>
      </c>
      <c r="E225" s="30">
        <f>41400/24*9</f>
        <v>15525</v>
      </c>
      <c r="F225" s="31">
        <v>2</v>
      </c>
      <c r="G225" s="30">
        <f t="shared" si="7"/>
        <v>31050</v>
      </c>
      <c r="H225" s="32">
        <v>0.5</v>
      </c>
      <c r="I225" s="30">
        <f t="shared" si="8"/>
        <v>15500</v>
      </c>
      <c r="J225" s="35"/>
      <c r="K225" s="36"/>
      <c r="L225" s="36"/>
      <c r="M225" s="36"/>
      <c r="N225" s="36"/>
      <c r="O225" s="36"/>
      <c r="P225" s="36"/>
      <c r="Q225" s="36"/>
      <c r="R225" s="36"/>
      <c r="S225" s="36"/>
    </row>
    <row r="226" spans="1:19">
      <c r="A226" s="26">
        <v>223</v>
      </c>
      <c r="B226" s="26" t="s">
        <v>28</v>
      </c>
      <c r="C226" s="26" t="s">
        <v>227</v>
      </c>
      <c r="D226" s="26" t="s">
        <v>44</v>
      </c>
      <c r="E226" s="30">
        <f>41400/24*9</f>
        <v>15525</v>
      </c>
      <c r="F226" s="31">
        <v>2</v>
      </c>
      <c r="G226" s="30">
        <f t="shared" si="7"/>
        <v>31050</v>
      </c>
      <c r="H226" s="32">
        <v>0.5</v>
      </c>
      <c r="I226" s="30">
        <f t="shared" si="8"/>
        <v>15500</v>
      </c>
      <c r="J226" s="35"/>
      <c r="K226" s="36"/>
      <c r="L226" s="36"/>
      <c r="M226" s="36"/>
      <c r="N226" s="36"/>
      <c r="O226" s="36"/>
      <c r="P226" s="36"/>
      <c r="Q226" s="36"/>
      <c r="R226" s="36"/>
      <c r="S226" s="36"/>
    </row>
    <row r="227" spans="1:19">
      <c r="A227" s="26">
        <v>224</v>
      </c>
      <c r="B227" s="26" t="s">
        <v>28</v>
      </c>
      <c r="C227" s="26" t="s">
        <v>206</v>
      </c>
      <c r="D227" s="26" t="s">
        <v>44</v>
      </c>
      <c r="E227" s="30">
        <f>31050/18*9</f>
        <v>15525</v>
      </c>
      <c r="F227" s="31">
        <v>2</v>
      </c>
      <c r="G227" s="30">
        <f t="shared" si="7"/>
        <v>31050</v>
      </c>
      <c r="H227" s="32">
        <v>0.5</v>
      </c>
      <c r="I227" s="30">
        <f t="shared" si="8"/>
        <v>15500</v>
      </c>
      <c r="J227" s="35"/>
      <c r="K227" s="36"/>
      <c r="L227" s="36"/>
      <c r="M227" s="36"/>
      <c r="N227" s="36"/>
      <c r="O227" s="36"/>
      <c r="P227" s="36"/>
      <c r="Q227" s="36"/>
      <c r="R227" s="36"/>
      <c r="S227" s="36"/>
    </row>
    <row r="228" ht="27" spans="1:19">
      <c r="A228" s="26">
        <v>225</v>
      </c>
      <c r="B228" s="26" t="s">
        <v>28</v>
      </c>
      <c r="C228" s="26" t="s">
        <v>200</v>
      </c>
      <c r="D228" s="26" t="s">
        <v>44</v>
      </c>
      <c r="E228" s="30">
        <f>20700/12*9</f>
        <v>15525</v>
      </c>
      <c r="F228" s="31">
        <v>1</v>
      </c>
      <c r="G228" s="30">
        <f t="shared" si="7"/>
        <v>15525</v>
      </c>
      <c r="H228" s="32">
        <v>0.5</v>
      </c>
      <c r="I228" s="30">
        <f t="shared" si="8"/>
        <v>7700</v>
      </c>
      <c r="J228" s="35" t="s">
        <v>455</v>
      </c>
      <c r="K228" s="36"/>
      <c r="L228" s="36"/>
      <c r="M228" s="36"/>
      <c r="N228" s="36"/>
      <c r="O228" s="36"/>
      <c r="P228" s="36"/>
      <c r="Q228" s="36"/>
      <c r="R228" s="36"/>
      <c r="S228" s="36"/>
    </row>
    <row r="229" spans="1:19">
      <c r="A229" s="26">
        <v>226</v>
      </c>
      <c r="B229" s="26" t="s">
        <v>28</v>
      </c>
      <c r="C229" s="26" t="s">
        <v>225</v>
      </c>
      <c r="D229" s="26" t="s">
        <v>44</v>
      </c>
      <c r="E229" s="30">
        <f>27600/16*9</f>
        <v>15525</v>
      </c>
      <c r="F229" s="31">
        <v>1</v>
      </c>
      <c r="G229" s="30">
        <f t="shared" si="7"/>
        <v>15525</v>
      </c>
      <c r="H229" s="32">
        <v>0.5</v>
      </c>
      <c r="I229" s="30">
        <f t="shared" si="8"/>
        <v>7700</v>
      </c>
      <c r="J229" s="35"/>
      <c r="K229" s="36"/>
      <c r="L229" s="36"/>
      <c r="M229" s="36"/>
      <c r="N229" s="36"/>
      <c r="O229" s="36"/>
      <c r="P229" s="36"/>
      <c r="Q229" s="36"/>
      <c r="R229" s="36"/>
      <c r="S229" s="36"/>
    </row>
    <row r="230" spans="1:19">
      <c r="A230" s="26">
        <v>227</v>
      </c>
      <c r="B230" s="26" t="s">
        <v>28</v>
      </c>
      <c r="C230" s="26" t="s">
        <v>217</v>
      </c>
      <c r="D230" s="26" t="s">
        <v>44</v>
      </c>
      <c r="E230" s="30">
        <f>34500/20*9</f>
        <v>15525</v>
      </c>
      <c r="F230" s="31">
        <v>2</v>
      </c>
      <c r="G230" s="30">
        <f t="shared" si="7"/>
        <v>31050</v>
      </c>
      <c r="H230" s="32">
        <v>0.5</v>
      </c>
      <c r="I230" s="30">
        <f t="shared" si="8"/>
        <v>15500</v>
      </c>
      <c r="J230" s="35" t="s">
        <v>456</v>
      </c>
      <c r="K230" s="36"/>
      <c r="L230" s="36"/>
      <c r="M230" s="36"/>
      <c r="N230" s="36"/>
      <c r="O230" s="36"/>
      <c r="P230" s="36"/>
      <c r="Q230" s="36"/>
      <c r="R230" s="36"/>
      <c r="S230" s="36"/>
    </row>
    <row r="231" spans="1:19">
      <c r="A231" s="26">
        <v>228</v>
      </c>
      <c r="B231" s="26" t="s">
        <v>28</v>
      </c>
      <c r="C231" s="26" t="s">
        <v>208</v>
      </c>
      <c r="D231" s="26" t="s">
        <v>44</v>
      </c>
      <c r="E231" s="30">
        <f>31050/18*9</f>
        <v>15525</v>
      </c>
      <c r="F231" s="31">
        <v>2</v>
      </c>
      <c r="G231" s="30">
        <f t="shared" si="7"/>
        <v>31050</v>
      </c>
      <c r="H231" s="32">
        <v>0.5</v>
      </c>
      <c r="I231" s="30">
        <f t="shared" si="8"/>
        <v>15500</v>
      </c>
      <c r="J231" s="35" t="s">
        <v>456</v>
      </c>
      <c r="K231" s="36"/>
      <c r="L231" s="36"/>
      <c r="M231" s="36"/>
      <c r="N231" s="36"/>
      <c r="O231" s="36"/>
      <c r="P231" s="36"/>
      <c r="Q231" s="36"/>
      <c r="R231" s="36"/>
      <c r="S231" s="36"/>
    </row>
    <row r="232" spans="1:19">
      <c r="A232" s="26">
        <v>229</v>
      </c>
      <c r="B232" s="26" t="s">
        <v>28</v>
      </c>
      <c r="C232" s="26" t="s">
        <v>224</v>
      </c>
      <c r="D232" s="26" t="s">
        <v>44</v>
      </c>
      <c r="E232" s="30">
        <f>43125/25*9</f>
        <v>15525</v>
      </c>
      <c r="F232" s="31">
        <v>2</v>
      </c>
      <c r="G232" s="30">
        <f t="shared" si="7"/>
        <v>31050</v>
      </c>
      <c r="H232" s="32">
        <v>0.5</v>
      </c>
      <c r="I232" s="30">
        <f t="shared" si="8"/>
        <v>15500</v>
      </c>
      <c r="J232" s="35" t="s">
        <v>456</v>
      </c>
      <c r="K232" s="36"/>
      <c r="L232" s="36"/>
      <c r="M232" s="36"/>
      <c r="N232" s="36"/>
      <c r="O232" s="36"/>
      <c r="P232" s="36"/>
      <c r="Q232" s="36"/>
      <c r="R232" s="36"/>
      <c r="S232" s="36"/>
    </row>
    <row r="233" spans="1:19">
      <c r="A233" s="26">
        <v>230</v>
      </c>
      <c r="B233" s="26" t="s">
        <v>21</v>
      </c>
      <c r="C233" s="26" t="s">
        <v>196</v>
      </c>
      <c r="D233" s="26" t="s">
        <v>15</v>
      </c>
      <c r="E233" s="30">
        <f>56400/6</f>
        <v>9400</v>
      </c>
      <c r="F233" s="31">
        <v>2</v>
      </c>
      <c r="G233" s="30">
        <f t="shared" si="7"/>
        <v>18800</v>
      </c>
      <c r="H233" s="32">
        <v>0.5</v>
      </c>
      <c r="I233" s="30">
        <f t="shared" si="8"/>
        <v>9400</v>
      </c>
      <c r="J233" s="35" t="s">
        <v>457</v>
      </c>
      <c r="K233" s="36"/>
      <c r="L233" s="36" t="s">
        <v>458</v>
      </c>
      <c r="M233" s="36"/>
      <c r="N233" s="36"/>
      <c r="O233" s="36"/>
      <c r="P233" s="36"/>
      <c r="Q233" s="36"/>
      <c r="R233" s="36"/>
      <c r="S233" s="36"/>
    </row>
    <row r="234" spans="1:19">
      <c r="A234" s="26">
        <v>231</v>
      </c>
      <c r="B234" s="26" t="s">
        <v>21</v>
      </c>
      <c r="C234" s="26" t="s">
        <v>459</v>
      </c>
      <c r="D234" s="26" t="s">
        <v>15</v>
      </c>
      <c r="E234" s="30">
        <f>172800/108*9</f>
        <v>14400</v>
      </c>
      <c r="F234" s="31">
        <v>2</v>
      </c>
      <c r="G234" s="30">
        <f t="shared" si="7"/>
        <v>28800</v>
      </c>
      <c r="H234" s="32">
        <v>0.5</v>
      </c>
      <c r="I234" s="30">
        <f t="shared" si="8"/>
        <v>14400</v>
      </c>
      <c r="J234" s="35"/>
      <c r="K234" s="36"/>
      <c r="L234" s="36"/>
      <c r="M234" s="36"/>
      <c r="N234" s="36"/>
      <c r="O234" s="36"/>
      <c r="P234" s="36"/>
      <c r="Q234" s="36"/>
      <c r="R234" s="36"/>
      <c r="S234" s="36"/>
    </row>
    <row r="235" spans="1:19">
      <c r="A235" s="26">
        <v>232</v>
      </c>
      <c r="B235" s="26" t="s">
        <v>28</v>
      </c>
      <c r="C235" s="26" t="s">
        <v>460</v>
      </c>
      <c r="D235" s="26" t="s">
        <v>44</v>
      </c>
      <c r="E235" s="30">
        <v>14400</v>
      </c>
      <c r="F235" s="31">
        <v>1</v>
      </c>
      <c r="G235" s="30">
        <f t="shared" si="7"/>
        <v>14400</v>
      </c>
      <c r="H235" s="32">
        <v>0.5</v>
      </c>
      <c r="I235" s="30">
        <f t="shared" si="8"/>
        <v>7200</v>
      </c>
      <c r="J235" s="35"/>
      <c r="K235" s="36"/>
      <c r="L235" s="36"/>
      <c r="M235" s="36"/>
      <c r="N235" s="36"/>
      <c r="O235" s="36"/>
      <c r="P235" s="36"/>
      <c r="Q235" s="36"/>
      <c r="R235" s="36"/>
      <c r="S235" s="36"/>
    </row>
    <row r="236" spans="1:19">
      <c r="A236" s="26">
        <v>233</v>
      </c>
      <c r="B236" s="26" t="s">
        <v>25</v>
      </c>
      <c r="C236" s="26" t="s">
        <v>22</v>
      </c>
      <c r="D236" s="26" t="s">
        <v>15</v>
      </c>
      <c r="E236" s="30">
        <f>115200/72*9</f>
        <v>14400</v>
      </c>
      <c r="F236" s="31">
        <v>2</v>
      </c>
      <c r="G236" s="30">
        <f t="shared" si="7"/>
        <v>28800</v>
      </c>
      <c r="H236" s="32">
        <v>0.5</v>
      </c>
      <c r="I236" s="30">
        <f t="shared" si="8"/>
        <v>14400</v>
      </c>
      <c r="J236" s="35"/>
      <c r="K236" s="36"/>
      <c r="L236" s="36"/>
      <c r="M236" s="36"/>
      <c r="N236" s="36"/>
      <c r="O236" s="36"/>
      <c r="P236" s="36"/>
      <c r="Q236" s="36"/>
      <c r="R236" s="36"/>
      <c r="S236" s="36"/>
    </row>
    <row r="237" spans="1:19">
      <c r="A237" s="26">
        <v>234</v>
      </c>
      <c r="B237" s="26" t="s">
        <v>28</v>
      </c>
      <c r="C237" s="26" t="s">
        <v>461</v>
      </c>
      <c r="D237" s="26" t="s">
        <v>15</v>
      </c>
      <c r="E237" s="30">
        <f>40768/4</f>
        <v>10192</v>
      </c>
      <c r="F237" s="31">
        <v>2</v>
      </c>
      <c r="G237" s="30">
        <f t="shared" si="7"/>
        <v>20384</v>
      </c>
      <c r="H237" s="32">
        <v>0.5</v>
      </c>
      <c r="I237" s="30">
        <f t="shared" si="8"/>
        <v>10100</v>
      </c>
      <c r="J237" s="35"/>
      <c r="K237" s="36"/>
      <c r="L237" s="36"/>
      <c r="M237" s="36"/>
      <c r="N237" s="36"/>
      <c r="O237" s="36"/>
      <c r="P237" s="36"/>
      <c r="Q237" s="36"/>
      <c r="R237" s="36"/>
      <c r="S237" s="36"/>
    </row>
    <row r="238" spans="1:19">
      <c r="A238" s="26">
        <v>235</v>
      </c>
      <c r="B238" s="26" t="s">
        <v>21</v>
      </c>
      <c r="C238" s="26" t="s">
        <v>462</v>
      </c>
      <c r="D238" s="26" t="s">
        <v>347</v>
      </c>
      <c r="E238" s="30">
        <f>170788/322*9</f>
        <v>4773.57763975155</v>
      </c>
      <c r="F238" s="31">
        <v>2</v>
      </c>
      <c r="G238" s="30">
        <f t="shared" si="7"/>
        <v>9547.15527950311</v>
      </c>
      <c r="H238" s="32">
        <v>0.5</v>
      </c>
      <c r="I238" s="30">
        <f t="shared" si="8"/>
        <v>4700</v>
      </c>
      <c r="J238" s="35"/>
      <c r="K238" s="36"/>
      <c r="L238" s="36"/>
      <c r="M238" s="36"/>
      <c r="N238" s="36"/>
      <c r="O238" s="36"/>
      <c r="P238" s="36"/>
      <c r="Q238" s="36"/>
      <c r="R238" s="36"/>
      <c r="S238" s="36"/>
    </row>
    <row r="239" spans="1:19">
      <c r="A239" s="26">
        <v>236</v>
      </c>
      <c r="B239" s="26" t="s">
        <v>13</v>
      </c>
      <c r="C239" s="26" t="s">
        <v>463</v>
      </c>
      <c r="D239" s="26" t="s">
        <v>30</v>
      </c>
      <c r="E239" s="30">
        <v>16800</v>
      </c>
      <c r="F239" s="31">
        <v>1</v>
      </c>
      <c r="G239" s="30">
        <f t="shared" si="7"/>
        <v>16800</v>
      </c>
      <c r="H239" s="32">
        <v>0.5</v>
      </c>
      <c r="I239" s="30">
        <f t="shared" si="8"/>
        <v>8400</v>
      </c>
      <c r="J239" s="35"/>
      <c r="K239" s="36"/>
      <c r="L239" s="36"/>
      <c r="M239" s="36"/>
      <c r="N239" s="36"/>
      <c r="O239" s="36"/>
      <c r="P239" s="36"/>
      <c r="Q239" s="36"/>
      <c r="R239" s="36"/>
      <c r="S239" s="36"/>
    </row>
    <row r="240" spans="1:19">
      <c r="A240" s="26">
        <v>237</v>
      </c>
      <c r="B240" s="26" t="s">
        <v>28</v>
      </c>
      <c r="C240" s="26" t="s">
        <v>464</v>
      </c>
      <c r="D240" s="26" t="s">
        <v>44</v>
      </c>
      <c r="E240" s="30">
        <f>48000/30*9</f>
        <v>14400</v>
      </c>
      <c r="F240" s="31">
        <v>2</v>
      </c>
      <c r="G240" s="30">
        <f t="shared" si="7"/>
        <v>28800</v>
      </c>
      <c r="H240" s="32">
        <v>0.5</v>
      </c>
      <c r="I240" s="30">
        <f t="shared" si="8"/>
        <v>14400</v>
      </c>
      <c r="J240" s="35"/>
      <c r="K240" s="36"/>
      <c r="L240" s="36"/>
      <c r="M240" s="36"/>
      <c r="N240" s="36"/>
      <c r="O240" s="36"/>
      <c r="P240" s="36"/>
      <c r="Q240" s="36"/>
      <c r="R240" s="36"/>
      <c r="S240" s="36"/>
    </row>
    <row r="241" spans="1:19">
      <c r="A241" s="26">
        <v>238</v>
      </c>
      <c r="B241" s="26" t="s">
        <v>28</v>
      </c>
      <c r="C241" s="26" t="s">
        <v>465</v>
      </c>
      <c r="D241" s="26" t="s">
        <v>44</v>
      </c>
      <c r="E241" s="30">
        <f>31050/18*9</f>
        <v>15525</v>
      </c>
      <c r="F241" s="31">
        <v>2</v>
      </c>
      <c r="G241" s="30">
        <f t="shared" si="7"/>
        <v>31050</v>
      </c>
      <c r="H241" s="32">
        <v>0.5</v>
      </c>
      <c r="I241" s="30">
        <f t="shared" si="8"/>
        <v>15500</v>
      </c>
      <c r="J241" s="35" t="s">
        <v>466</v>
      </c>
      <c r="K241" s="36"/>
      <c r="L241" s="36" t="s">
        <v>467</v>
      </c>
      <c r="M241" s="36"/>
      <c r="N241" s="36"/>
      <c r="O241" s="36"/>
      <c r="P241" s="36"/>
      <c r="Q241" s="36"/>
      <c r="R241" s="36"/>
      <c r="S241" s="36"/>
    </row>
    <row r="242" spans="1:19">
      <c r="A242" s="26">
        <v>239</v>
      </c>
      <c r="B242" s="26" t="s">
        <v>28</v>
      </c>
      <c r="C242" s="26" t="s">
        <v>468</v>
      </c>
      <c r="D242" s="26" t="s">
        <v>44</v>
      </c>
      <c r="E242" s="30">
        <f>24150/14*9</f>
        <v>15525</v>
      </c>
      <c r="F242" s="31">
        <v>1</v>
      </c>
      <c r="G242" s="30">
        <f t="shared" si="7"/>
        <v>15525</v>
      </c>
      <c r="H242" s="32">
        <v>0.5</v>
      </c>
      <c r="I242" s="30">
        <f t="shared" si="8"/>
        <v>7700</v>
      </c>
      <c r="J242" s="35" t="s">
        <v>456</v>
      </c>
      <c r="K242" s="36"/>
      <c r="L242" s="36"/>
      <c r="M242" s="36"/>
      <c r="N242" s="36"/>
      <c r="O242" s="36"/>
      <c r="P242" s="36"/>
      <c r="Q242" s="36"/>
      <c r="R242" s="36"/>
      <c r="S242" s="36"/>
    </row>
    <row r="243" spans="1:19">
      <c r="A243" s="26">
        <v>240</v>
      </c>
      <c r="B243" s="26" t="s">
        <v>28</v>
      </c>
      <c r="C243" s="26" t="s">
        <v>210</v>
      </c>
      <c r="D243" s="26" t="s">
        <v>44</v>
      </c>
      <c r="E243" s="30">
        <f>(34050-3000)/18*9</f>
        <v>15525</v>
      </c>
      <c r="F243" s="31">
        <v>2</v>
      </c>
      <c r="G243" s="30">
        <f t="shared" si="7"/>
        <v>31050</v>
      </c>
      <c r="H243" s="32">
        <v>0.5</v>
      </c>
      <c r="I243" s="30">
        <f t="shared" si="8"/>
        <v>15500</v>
      </c>
      <c r="J243" s="35" t="s">
        <v>456</v>
      </c>
      <c r="K243" s="36"/>
      <c r="L243" s="36"/>
      <c r="M243" s="36"/>
      <c r="N243" s="36"/>
      <c r="O243" s="36"/>
      <c r="P243" s="36"/>
      <c r="Q243" s="36"/>
      <c r="R243" s="36"/>
      <c r="S243" s="36"/>
    </row>
    <row r="244" spans="1:19">
      <c r="A244" s="26">
        <v>241</v>
      </c>
      <c r="B244" s="26" t="s">
        <v>112</v>
      </c>
      <c r="C244" s="26" t="s">
        <v>197</v>
      </c>
      <c r="D244" s="26" t="s">
        <v>15</v>
      </c>
      <c r="E244" s="30">
        <f>36848/4</f>
        <v>9212</v>
      </c>
      <c r="F244" s="31">
        <v>2</v>
      </c>
      <c r="G244" s="30">
        <f t="shared" si="7"/>
        <v>18424</v>
      </c>
      <c r="H244" s="32">
        <v>0.5</v>
      </c>
      <c r="I244" s="30">
        <f t="shared" si="8"/>
        <v>9200</v>
      </c>
      <c r="J244" s="35"/>
      <c r="K244" s="36"/>
      <c r="L244" s="36"/>
      <c r="M244" s="36"/>
      <c r="N244" s="36"/>
      <c r="O244" s="36"/>
      <c r="P244" s="36"/>
      <c r="Q244" s="36"/>
      <c r="R244" s="36"/>
      <c r="S244" s="36"/>
    </row>
    <row r="245" ht="40.5" spans="1:19">
      <c r="A245" s="26">
        <v>242</v>
      </c>
      <c r="B245" s="26" t="s">
        <v>98</v>
      </c>
      <c r="C245" s="26" t="s">
        <v>469</v>
      </c>
      <c r="D245" s="26" t="s">
        <v>15</v>
      </c>
      <c r="E245" s="30">
        <f>171000/90*9</f>
        <v>17100</v>
      </c>
      <c r="F245" s="31">
        <v>2</v>
      </c>
      <c r="G245" s="30">
        <f t="shared" si="7"/>
        <v>34200</v>
      </c>
      <c r="H245" s="32">
        <v>0.5</v>
      </c>
      <c r="I245" s="30">
        <f t="shared" si="8"/>
        <v>17100</v>
      </c>
      <c r="J245" s="35" t="s">
        <v>470</v>
      </c>
      <c r="K245" s="36"/>
      <c r="L245" s="36"/>
      <c r="M245" s="36"/>
      <c r="N245" s="36"/>
      <c r="O245" s="36"/>
      <c r="P245" s="36"/>
      <c r="Q245" s="36"/>
      <c r="R245" s="36"/>
      <c r="S245" s="36"/>
    </row>
    <row r="246" spans="1:19">
      <c r="A246" s="26">
        <v>243</v>
      </c>
      <c r="B246" s="26" t="s">
        <v>21</v>
      </c>
      <c r="C246" s="26" t="s">
        <v>471</v>
      </c>
      <c r="D246" s="26" t="s">
        <v>15</v>
      </c>
      <c r="E246" s="30">
        <f>(288000)/180*9</f>
        <v>14400</v>
      </c>
      <c r="F246" s="31">
        <v>2</v>
      </c>
      <c r="G246" s="30">
        <f t="shared" si="7"/>
        <v>28800</v>
      </c>
      <c r="H246" s="32">
        <v>0.5</v>
      </c>
      <c r="I246" s="30">
        <f t="shared" si="8"/>
        <v>14400</v>
      </c>
      <c r="J246" s="35"/>
      <c r="K246" s="36"/>
      <c r="L246" s="36"/>
      <c r="M246" s="36"/>
      <c r="N246" s="36"/>
      <c r="O246" s="36"/>
      <c r="P246" s="36"/>
      <c r="Q246" s="36"/>
      <c r="R246" s="36"/>
      <c r="S246" s="36"/>
    </row>
    <row r="247" spans="1:19">
      <c r="A247" s="26">
        <v>244</v>
      </c>
      <c r="B247" s="26" t="s">
        <v>21</v>
      </c>
      <c r="C247" s="26" t="s">
        <v>472</v>
      </c>
      <c r="D247" s="26" t="s">
        <v>15</v>
      </c>
      <c r="E247" s="30">
        <f>(34000)/4</f>
        <v>8500</v>
      </c>
      <c r="F247" s="31">
        <v>2</v>
      </c>
      <c r="G247" s="30">
        <f t="shared" si="7"/>
        <v>17000</v>
      </c>
      <c r="H247" s="32">
        <v>0.5</v>
      </c>
      <c r="I247" s="30">
        <f t="shared" si="8"/>
        <v>8500</v>
      </c>
      <c r="J247" s="35"/>
      <c r="K247" s="36"/>
      <c r="L247" s="36"/>
      <c r="M247" s="36"/>
      <c r="N247" s="36"/>
      <c r="O247" s="36"/>
      <c r="P247" s="36"/>
      <c r="Q247" s="36"/>
      <c r="R247" s="36"/>
      <c r="S247" s="36"/>
    </row>
    <row r="248" spans="1:19">
      <c r="A248" s="26">
        <v>245</v>
      </c>
      <c r="B248" s="26" t="s">
        <v>98</v>
      </c>
      <c r="C248" s="26" t="s">
        <v>473</v>
      </c>
      <c r="D248" s="26" t="s">
        <v>15</v>
      </c>
      <c r="E248" s="30">
        <f>(129600)/81*9</f>
        <v>14400</v>
      </c>
      <c r="F248" s="31">
        <v>2</v>
      </c>
      <c r="G248" s="30">
        <f t="shared" si="7"/>
        <v>28800</v>
      </c>
      <c r="H248" s="32">
        <v>0.5</v>
      </c>
      <c r="I248" s="30">
        <f t="shared" si="8"/>
        <v>14400</v>
      </c>
      <c r="J248" s="35"/>
      <c r="K248" s="36"/>
      <c r="L248" s="36"/>
      <c r="M248" s="36"/>
      <c r="N248" s="36"/>
      <c r="O248" s="36"/>
      <c r="P248" s="36"/>
      <c r="Q248" s="36"/>
      <c r="R248" s="36"/>
      <c r="S248" s="36"/>
    </row>
    <row r="249" spans="1:19">
      <c r="A249" s="26">
        <v>246</v>
      </c>
      <c r="B249" s="26" t="s">
        <v>98</v>
      </c>
      <c r="C249" s="26" t="s">
        <v>102</v>
      </c>
      <c r="D249" s="26" t="s">
        <v>15</v>
      </c>
      <c r="E249" s="30">
        <f>41600/4</f>
        <v>10400</v>
      </c>
      <c r="F249" s="31">
        <v>2</v>
      </c>
      <c r="G249" s="30">
        <f t="shared" si="7"/>
        <v>20800</v>
      </c>
      <c r="H249" s="32">
        <v>0.5</v>
      </c>
      <c r="I249" s="30">
        <f t="shared" si="8"/>
        <v>10400</v>
      </c>
      <c r="J249" s="35"/>
      <c r="K249" s="36"/>
      <c r="L249" s="36"/>
      <c r="M249" s="36"/>
      <c r="N249" s="36"/>
      <c r="O249" s="36"/>
      <c r="P249" s="36"/>
      <c r="Q249" s="36"/>
      <c r="R249" s="36"/>
      <c r="S249" s="36"/>
    </row>
    <row r="250" spans="1:19">
      <c r="A250" s="26">
        <v>247</v>
      </c>
      <c r="B250" s="26" t="s">
        <v>28</v>
      </c>
      <c r="C250" s="26" t="s">
        <v>474</v>
      </c>
      <c r="D250" s="26" t="s">
        <v>44</v>
      </c>
      <c r="E250" s="30">
        <f>(34500)/20*9</f>
        <v>15525</v>
      </c>
      <c r="F250" s="31">
        <v>2</v>
      </c>
      <c r="G250" s="30">
        <f t="shared" si="7"/>
        <v>31050</v>
      </c>
      <c r="H250" s="32">
        <v>0.5</v>
      </c>
      <c r="I250" s="30">
        <f t="shared" si="8"/>
        <v>15500</v>
      </c>
      <c r="J250" s="35" t="s">
        <v>456</v>
      </c>
      <c r="K250" s="36"/>
      <c r="L250" s="36"/>
      <c r="M250" s="36"/>
      <c r="N250" s="36"/>
      <c r="O250" s="36"/>
      <c r="P250" s="36"/>
      <c r="Q250" s="36"/>
      <c r="R250" s="36"/>
      <c r="S250" s="36"/>
    </row>
    <row r="251" spans="1:19">
      <c r="A251" s="26">
        <v>248</v>
      </c>
      <c r="B251" s="26" t="s">
        <v>28</v>
      </c>
      <c r="C251" s="26" t="s">
        <v>475</v>
      </c>
      <c r="D251" s="26" t="s">
        <v>44</v>
      </c>
      <c r="E251" s="30">
        <f>27600/16*9</f>
        <v>15525</v>
      </c>
      <c r="F251" s="31">
        <v>1</v>
      </c>
      <c r="G251" s="30">
        <f t="shared" si="7"/>
        <v>15525</v>
      </c>
      <c r="H251" s="32">
        <v>0.5</v>
      </c>
      <c r="I251" s="30">
        <f t="shared" si="8"/>
        <v>7700</v>
      </c>
      <c r="J251" s="35" t="s">
        <v>456</v>
      </c>
      <c r="K251" s="36"/>
      <c r="L251" s="36" t="s">
        <v>476</v>
      </c>
      <c r="M251" s="36"/>
      <c r="N251" s="36"/>
      <c r="O251" s="36"/>
      <c r="P251" s="36"/>
      <c r="Q251" s="36"/>
      <c r="R251" s="36"/>
      <c r="S251" s="36"/>
    </row>
    <row r="252" spans="1:19">
      <c r="A252" s="26">
        <v>249</v>
      </c>
      <c r="B252" s="26" t="s">
        <v>28</v>
      </c>
      <c r="C252" s="26" t="s">
        <v>312</v>
      </c>
      <c r="D252" s="26" t="s">
        <v>44</v>
      </c>
      <c r="E252" s="30">
        <f>51750/30*9</f>
        <v>15525</v>
      </c>
      <c r="F252" s="31">
        <v>2</v>
      </c>
      <c r="G252" s="30">
        <f t="shared" si="7"/>
        <v>31050</v>
      </c>
      <c r="H252" s="32">
        <v>0.5</v>
      </c>
      <c r="I252" s="30">
        <f t="shared" si="8"/>
        <v>15500</v>
      </c>
      <c r="J252" s="35" t="s">
        <v>456</v>
      </c>
      <c r="K252" s="36"/>
      <c r="L252" s="36"/>
      <c r="M252" s="36"/>
      <c r="N252" s="36"/>
      <c r="O252" s="36"/>
      <c r="P252" s="36"/>
      <c r="Q252" s="36"/>
      <c r="R252" s="36"/>
      <c r="S252" s="36"/>
    </row>
    <row r="253" spans="1:19">
      <c r="A253" s="26">
        <v>250</v>
      </c>
      <c r="B253" s="26" t="s">
        <v>28</v>
      </c>
      <c r="C253" s="26" t="s">
        <v>242</v>
      </c>
      <c r="D253" s="26" t="s">
        <v>44</v>
      </c>
      <c r="E253" s="30">
        <f>20700/12*9</f>
        <v>15525</v>
      </c>
      <c r="F253" s="31">
        <v>1</v>
      </c>
      <c r="G253" s="30">
        <f t="shared" si="7"/>
        <v>15525</v>
      </c>
      <c r="H253" s="32">
        <v>0.5</v>
      </c>
      <c r="I253" s="30">
        <f t="shared" si="8"/>
        <v>7700</v>
      </c>
      <c r="J253" s="35" t="s">
        <v>456</v>
      </c>
      <c r="K253" s="36"/>
      <c r="L253" s="36"/>
      <c r="M253" s="36"/>
      <c r="N253" s="36"/>
      <c r="O253" s="36"/>
      <c r="P253" s="36"/>
      <c r="Q253" s="36"/>
      <c r="R253" s="36"/>
      <c r="S253" s="36"/>
    </row>
    <row r="254" spans="1:19">
      <c r="A254" s="26">
        <v>251</v>
      </c>
      <c r="B254" s="26" t="s">
        <v>452</v>
      </c>
      <c r="C254" s="26" t="s">
        <v>477</v>
      </c>
      <c r="D254" s="26" t="s">
        <v>109</v>
      </c>
      <c r="E254" s="30">
        <v>4000</v>
      </c>
      <c r="F254" s="31">
        <v>1</v>
      </c>
      <c r="G254" s="30">
        <f t="shared" si="7"/>
        <v>4000</v>
      </c>
      <c r="H254" s="32">
        <v>0.5</v>
      </c>
      <c r="I254" s="30">
        <f t="shared" si="8"/>
        <v>2000</v>
      </c>
      <c r="J254" s="35" t="s">
        <v>478</v>
      </c>
      <c r="K254" s="36"/>
      <c r="L254" s="36"/>
      <c r="M254" s="36"/>
      <c r="N254" s="36"/>
      <c r="O254" s="36"/>
      <c r="P254" s="36"/>
      <c r="Q254" s="36"/>
      <c r="R254" s="36"/>
      <c r="S254" s="36"/>
    </row>
    <row r="255" ht="27" spans="1:19">
      <c r="A255" s="26">
        <v>252</v>
      </c>
      <c r="B255" s="26" t="s">
        <v>13</v>
      </c>
      <c r="C255" s="26" t="s">
        <v>266</v>
      </c>
      <c r="D255" s="26" t="s">
        <v>58</v>
      </c>
      <c r="E255" s="30">
        <v>16650</v>
      </c>
      <c r="F255" s="31">
        <v>1</v>
      </c>
      <c r="G255" s="30">
        <f t="shared" si="7"/>
        <v>16650</v>
      </c>
      <c r="H255" s="32">
        <v>0.5</v>
      </c>
      <c r="I255" s="30">
        <f t="shared" si="8"/>
        <v>8300</v>
      </c>
      <c r="J255" s="35" t="s">
        <v>454</v>
      </c>
      <c r="K255" s="36"/>
      <c r="L255" s="36"/>
      <c r="M255" s="36" t="s">
        <v>479</v>
      </c>
      <c r="N255" s="36"/>
      <c r="O255" s="36"/>
      <c r="P255" s="36" t="s">
        <v>480</v>
      </c>
      <c r="Q255" s="36"/>
      <c r="R255" s="36" t="s">
        <v>481</v>
      </c>
      <c r="S255" s="36" t="s">
        <v>482</v>
      </c>
    </row>
    <row r="256" spans="1:19">
      <c r="A256" s="21"/>
      <c r="B256" s="22" t="s">
        <v>260</v>
      </c>
      <c r="C256" s="22"/>
      <c r="D256" s="22"/>
      <c r="E256" s="23">
        <f>SUM(E4:E255)</f>
        <v>3769954.36137058</v>
      </c>
      <c r="F256" s="39"/>
      <c r="G256" s="23">
        <f>SUM(G4:G255)</f>
        <v>6333476.72274115</v>
      </c>
      <c r="H256" s="23"/>
      <c r="I256" s="23">
        <f>SUM(I4:I255)</f>
        <v>3161200</v>
      </c>
      <c r="J256" s="21"/>
      <c r="K256" s="24"/>
      <c r="L256" s="24"/>
      <c r="M256" s="24"/>
      <c r="N256" s="24"/>
      <c r="O256" s="24"/>
      <c r="P256" s="24"/>
      <c r="Q256" s="24"/>
      <c r="R256" s="24"/>
      <c r="S256" s="24"/>
    </row>
  </sheetData>
  <autoFilter ref="A3:J256">
    <filterColumn colId="9">
      <filters>
        <filter val="10,000.00"/>
        <filter val="14,400.00"/>
        <filter val="19,800.00"/>
        <filter val="16,800.00"/>
      </filters>
    </filterColumn>
    <extLst/>
  </autoFilter>
  <mergeCells count="1">
    <mergeCell ref="A1:I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S255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13.5"/>
  <cols>
    <col min="1" max="1" width="5.81666666666667" customWidth="true"/>
    <col min="2" max="2" width="13.5416666666667" customWidth="true"/>
    <col min="3" max="3" width="35.5416666666667" customWidth="true"/>
    <col min="4" max="4" width="28.45" customWidth="true"/>
    <col min="5" max="5" width="13.1833333333333" customWidth="true"/>
    <col min="6" max="6" width="9.54166666666667" customWidth="true"/>
    <col min="7" max="7" width="11.45" customWidth="true"/>
    <col min="8" max="8" width="9.54166666666667" customWidth="true"/>
    <col min="9" max="9" width="13.5416666666667" customWidth="true"/>
    <col min="10" max="10" width="15.5416666666667" hidden="true" customWidth="true"/>
    <col min="11" max="15" width="8" hidden="true"/>
    <col min="16" max="19" width="9.54166666666667" customWidth="true"/>
  </cols>
  <sheetData>
    <row r="1" ht="19.5" spans="1:19">
      <c r="A1" s="1" t="s">
        <v>334</v>
      </c>
      <c r="B1" s="1"/>
      <c r="C1" s="1"/>
      <c r="D1" s="1"/>
      <c r="E1" s="1"/>
      <c r="F1" s="1"/>
      <c r="G1" s="1"/>
      <c r="H1" s="1"/>
      <c r="I1" s="1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ht="14.25" spans="1:19">
      <c r="A2" s="2"/>
      <c r="B2" s="2"/>
      <c r="C2" s="2"/>
      <c r="D2" s="3"/>
      <c r="E2" s="6"/>
      <c r="F2" s="2"/>
      <c r="G2" s="7"/>
      <c r="H2" s="8"/>
      <c r="I2" s="16" t="s">
        <v>1</v>
      </c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5.5" spans="1:19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  <c r="F3" s="10" t="s">
        <v>7</v>
      </c>
      <c r="G3" s="9" t="s">
        <v>8</v>
      </c>
      <c r="H3" s="11" t="s">
        <v>9</v>
      </c>
      <c r="I3" s="17" t="s">
        <v>10</v>
      </c>
      <c r="J3" s="18" t="s">
        <v>335</v>
      </c>
      <c r="K3" s="15"/>
      <c r="L3" s="15"/>
      <c r="M3" s="15"/>
      <c r="N3" s="15"/>
      <c r="O3" s="15"/>
      <c r="P3" s="15"/>
      <c r="Q3" s="15"/>
      <c r="R3" s="15"/>
      <c r="S3" s="15"/>
    </row>
    <row r="4" ht="15" customHeight="true" spans="1:19">
      <c r="A4" s="5">
        <v>1</v>
      </c>
      <c r="B4" s="5" t="s">
        <v>28</v>
      </c>
      <c r="C4" s="5" t="s">
        <v>66</v>
      </c>
      <c r="D4" s="5" t="s">
        <v>58</v>
      </c>
      <c r="E4" s="12">
        <f>84500/30*9</f>
        <v>25350</v>
      </c>
      <c r="F4" s="13">
        <v>2</v>
      </c>
      <c r="G4" s="12">
        <f t="shared" ref="G4:G67" si="0">E4*F4</f>
        <v>50700</v>
      </c>
      <c r="H4" s="14">
        <v>0.5</v>
      </c>
      <c r="I4" s="12">
        <f t="shared" ref="I4:I67" si="1">ROUNDDOWN(G4*H4,-2)</f>
        <v>25300</v>
      </c>
      <c r="J4" s="18"/>
      <c r="K4" s="15"/>
      <c r="L4" s="15"/>
      <c r="M4" s="15"/>
      <c r="N4" s="15"/>
      <c r="O4" s="15"/>
      <c r="P4" s="15"/>
      <c r="Q4" s="15"/>
      <c r="R4" s="15"/>
      <c r="S4" s="15"/>
    </row>
    <row r="5" ht="15" customHeight="true" spans="1:19">
      <c r="A5" s="5">
        <v>2</v>
      </c>
      <c r="B5" s="5" t="s">
        <v>28</v>
      </c>
      <c r="C5" s="5" t="s">
        <v>233</v>
      </c>
      <c r="D5" s="5" t="s">
        <v>15</v>
      </c>
      <c r="E5" s="12">
        <f>37600/4</f>
        <v>9400</v>
      </c>
      <c r="F5" s="13">
        <v>2</v>
      </c>
      <c r="G5" s="12">
        <f t="shared" si="0"/>
        <v>18800</v>
      </c>
      <c r="H5" s="14">
        <v>0.5</v>
      </c>
      <c r="I5" s="12">
        <f t="shared" si="1"/>
        <v>9400</v>
      </c>
      <c r="J5" s="18"/>
      <c r="K5" s="15"/>
      <c r="L5" s="15"/>
      <c r="M5" s="15"/>
      <c r="N5" s="15"/>
      <c r="O5" s="15"/>
      <c r="P5" s="15"/>
      <c r="Q5" s="15"/>
      <c r="R5" s="15"/>
      <c r="S5" s="15"/>
    </row>
    <row r="6" ht="15" customHeight="true" spans="1:19">
      <c r="A6" s="5">
        <v>3</v>
      </c>
      <c r="B6" s="5" t="s">
        <v>16</v>
      </c>
      <c r="C6" s="5" t="s">
        <v>17</v>
      </c>
      <c r="D6" s="5" t="s">
        <v>15</v>
      </c>
      <c r="E6" s="12">
        <f>75200/8</f>
        <v>9400</v>
      </c>
      <c r="F6" s="13">
        <v>2</v>
      </c>
      <c r="G6" s="12">
        <f t="shared" si="0"/>
        <v>18800</v>
      </c>
      <c r="H6" s="14">
        <v>0.5</v>
      </c>
      <c r="I6" s="12">
        <f t="shared" si="1"/>
        <v>9400</v>
      </c>
      <c r="J6" s="18"/>
      <c r="K6" s="15"/>
      <c r="L6" s="15"/>
      <c r="M6" s="15"/>
      <c r="N6" s="15"/>
      <c r="O6" s="15"/>
      <c r="P6" s="15"/>
      <c r="Q6" s="15"/>
      <c r="R6" s="15"/>
      <c r="S6" s="15"/>
    </row>
    <row r="7" ht="15" customHeight="true" spans="1:19">
      <c r="A7" s="5">
        <v>4</v>
      </c>
      <c r="B7" s="5" t="s">
        <v>28</v>
      </c>
      <c r="C7" s="5" t="s">
        <v>90</v>
      </c>
      <c r="D7" s="5" t="s">
        <v>15</v>
      </c>
      <c r="E7" s="12">
        <f>37600/4</f>
        <v>9400</v>
      </c>
      <c r="F7" s="13">
        <v>2</v>
      </c>
      <c r="G7" s="12">
        <f t="shared" si="0"/>
        <v>18800</v>
      </c>
      <c r="H7" s="14">
        <v>0.5</v>
      </c>
      <c r="I7" s="12">
        <f t="shared" si="1"/>
        <v>9400</v>
      </c>
      <c r="J7" s="18"/>
      <c r="K7" s="15"/>
      <c r="L7" s="15"/>
      <c r="M7" s="15"/>
      <c r="N7" s="15"/>
      <c r="O7" s="15"/>
      <c r="P7" s="15"/>
      <c r="Q7" s="15"/>
      <c r="R7" s="15"/>
      <c r="S7" s="15"/>
    </row>
    <row r="8" ht="15" customHeight="true" spans="1:19">
      <c r="A8" s="5">
        <v>5</v>
      </c>
      <c r="B8" s="5" t="s">
        <v>28</v>
      </c>
      <c r="C8" s="5" t="s">
        <v>159</v>
      </c>
      <c r="D8" s="5" t="s">
        <v>15</v>
      </c>
      <c r="E8" s="12">
        <f>36848/4</f>
        <v>9212</v>
      </c>
      <c r="F8" s="13">
        <v>2</v>
      </c>
      <c r="G8" s="12">
        <f t="shared" si="0"/>
        <v>18424</v>
      </c>
      <c r="H8" s="14">
        <v>0.5</v>
      </c>
      <c r="I8" s="12">
        <f t="shared" si="1"/>
        <v>9200</v>
      </c>
      <c r="J8" s="18"/>
      <c r="K8" s="15"/>
      <c r="L8" s="15"/>
      <c r="M8" s="15"/>
      <c r="N8" s="15"/>
      <c r="O8" s="15"/>
      <c r="P8" s="15"/>
      <c r="Q8" s="15"/>
      <c r="R8" s="15"/>
      <c r="S8" s="15"/>
    </row>
    <row r="9" ht="15" customHeight="true" spans="1:19">
      <c r="A9" s="5">
        <v>6</v>
      </c>
      <c r="B9" s="5" t="s">
        <v>16</v>
      </c>
      <c r="C9" s="5" t="s">
        <v>336</v>
      </c>
      <c r="D9" s="5" t="s">
        <v>30</v>
      </c>
      <c r="E9" s="12">
        <f>16800</f>
        <v>16800</v>
      </c>
      <c r="F9" s="13">
        <v>1</v>
      </c>
      <c r="G9" s="12">
        <f t="shared" si="0"/>
        <v>16800</v>
      </c>
      <c r="H9" s="14">
        <v>0.5</v>
      </c>
      <c r="I9" s="12">
        <f t="shared" si="1"/>
        <v>8400</v>
      </c>
      <c r="J9" s="18"/>
      <c r="K9" s="15"/>
      <c r="L9" s="15"/>
      <c r="M9" s="15"/>
      <c r="N9" s="15"/>
      <c r="O9" s="15"/>
      <c r="P9" s="15"/>
      <c r="Q9" s="15"/>
      <c r="R9" s="15"/>
      <c r="S9" s="15"/>
    </row>
    <row r="10" ht="15" customHeight="true" spans="1:19">
      <c r="A10" s="5">
        <v>7</v>
      </c>
      <c r="B10" s="5" t="s">
        <v>25</v>
      </c>
      <c r="C10" s="5" t="s">
        <v>139</v>
      </c>
      <c r="D10" s="5" t="s">
        <v>15</v>
      </c>
      <c r="E10" s="12">
        <f>41600/4</f>
        <v>10400</v>
      </c>
      <c r="F10" s="13">
        <v>2</v>
      </c>
      <c r="G10" s="12">
        <f t="shared" si="0"/>
        <v>20800</v>
      </c>
      <c r="H10" s="14">
        <v>0.5</v>
      </c>
      <c r="I10" s="12">
        <f t="shared" si="1"/>
        <v>10400</v>
      </c>
      <c r="J10" s="18"/>
      <c r="K10" s="15"/>
      <c r="L10" s="15"/>
      <c r="M10" s="15"/>
      <c r="N10" s="15"/>
      <c r="O10" s="15"/>
      <c r="P10" s="15"/>
      <c r="Q10" s="15"/>
      <c r="R10" s="15"/>
      <c r="S10" s="15"/>
    </row>
    <row r="11" ht="15" customHeight="true" spans="1:19">
      <c r="A11" s="5">
        <v>8</v>
      </c>
      <c r="B11" s="5" t="s">
        <v>59</v>
      </c>
      <c r="C11" s="5" t="s">
        <v>337</v>
      </c>
      <c r="D11" s="5" t="s">
        <v>338</v>
      </c>
      <c r="E11" s="12">
        <f>25500/12*9</f>
        <v>19125</v>
      </c>
      <c r="F11" s="13">
        <v>1</v>
      </c>
      <c r="G11" s="12">
        <f t="shared" si="0"/>
        <v>19125</v>
      </c>
      <c r="H11" s="14">
        <v>0.5</v>
      </c>
      <c r="I11" s="12">
        <f t="shared" si="1"/>
        <v>9500</v>
      </c>
      <c r="J11" s="18"/>
      <c r="K11" s="15"/>
      <c r="L11" s="15"/>
      <c r="M11" s="15"/>
      <c r="N11" s="15"/>
      <c r="O11" s="15"/>
      <c r="P11" s="15"/>
      <c r="Q11" s="15"/>
      <c r="R11" s="15"/>
      <c r="S11" s="15"/>
    </row>
    <row r="12" ht="15" customHeight="true" spans="1:19">
      <c r="A12" s="5">
        <v>9</v>
      </c>
      <c r="B12" s="5" t="s">
        <v>13</v>
      </c>
      <c r="C12" s="5" t="s">
        <v>81</v>
      </c>
      <c r="D12" s="5" t="s">
        <v>58</v>
      </c>
      <c r="E12" s="12">
        <f>25830/18*9</f>
        <v>12915</v>
      </c>
      <c r="F12" s="13">
        <v>2</v>
      </c>
      <c r="G12" s="12">
        <f t="shared" si="0"/>
        <v>25830</v>
      </c>
      <c r="H12" s="14">
        <v>0.5</v>
      </c>
      <c r="I12" s="12">
        <f t="shared" si="1"/>
        <v>12900</v>
      </c>
      <c r="J12" s="18"/>
      <c r="K12" s="15"/>
      <c r="L12" s="15"/>
      <c r="M12" s="15"/>
      <c r="N12" s="15"/>
      <c r="O12" s="15"/>
      <c r="P12" s="15"/>
      <c r="Q12" s="15"/>
      <c r="R12" s="15"/>
      <c r="S12" s="15"/>
    </row>
    <row r="13" ht="15" customHeight="true" spans="1:19">
      <c r="A13" s="5">
        <v>10</v>
      </c>
      <c r="B13" s="5" t="s">
        <v>13</v>
      </c>
      <c r="C13" s="5" t="s">
        <v>138</v>
      </c>
      <c r="D13" s="5" t="s">
        <v>20</v>
      </c>
      <c r="E13" s="12">
        <f>12000+(12000*6%)</f>
        <v>12720</v>
      </c>
      <c r="F13" s="13">
        <v>1</v>
      </c>
      <c r="G13" s="12">
        <f t="shared" si="0"/>
        <v>12720</v>
      </c>
      <c r="H13" s="14">
        <v>0.5</v>
      </c>
      <c r="I13" s="12">
        <f t="shared" si="1"/>
        <v>6300</v>
      </c>
      <c r="J13" s="18"/>
      <c r="K13" s="15"/>
      <c r="L13" s="15"/>
      <c r="M13" s="15"/>
      <c r="N13" s="15"/>
      <c r="O13" s="15"/>
      <c r="P13" s="15"/>
      <c r="Q13" s="15"/>
      <c r="R13" s="15"/>
      <c r="S13" s="15"/>
    </row>
    <row r="14" ht="15" customHeight="true" spans="1:19">
      <c r="A14" s="5">
        <v>11</v>
      </c>
      <c r="B14" s="5" t="s">
        <v>112</v>
      </c>
      <c r="C14" s="5" t="s">
        <v>176</v>
      </c>
      <c r="D14" s="5" t="s">
        <v>20</v>
      </c>
      <c r="E14" s="12">
        <f>12000+(12000*6%)</f>
        <v>12720</v>
      </c>
      <c r="F14" s="13">
        <v>1</v>
      </c>
      <c r="G14" s="12">
        <f t="shared" si="0"/>
        <v>12720</v>
      </c>
      <c r="H14" s="14">
        <v>0.5</v>
      </c>
      <c r="I14" s="12">
        <f t="shared" si="1"/>
        <v>6300</v>
      </c>
      <c r="J14" s="18"/>
      <c r="K14" s="15"/>
      <c r="L14" s="15"/>
      <c r="M14" s="15"/>
      <c r="N14" s="15"/>
      <c r="O14" s="15"/>
      <c r="P14" s="15"/>
      <c r="Q14" s="15"/>
      <c r="R14" s="15"/>
      <c r="S14" s="15"/>
    </row>
    <row r="15" ht="15" customHeight="true" spans="1:19">
      <c r="A15" s="5">
        <v>12</v>
      </c>
      <c r="B15" s="5" t="s">
        <v>28</v>
      </c>
      <c r="C15" s="5" t="s">
        <v>339</v>
      </c>
      <c r="D15" s="5" t="s">
        <v>15</v>
      </c>
      <c r="E15" s="12">
        <f>188000/20</f>
        <v>9400</v>
      </c>
      <c r="F15" s="13">
        <v>2</v>
      </c>
      <c r="G15" s="12">
        <f t="shared" si="0"/>
        <v>18800</v>
      </c>
      <c r="H15" s="14">
        <v>0.5</v>
      </c>
      <c r="I15" s="12">
        <f t="shared" si="1"/>
        <v>9400</v>
      </c>
      <c r="J15" s="18"/>
      <c r="K15" s="15"/>
      <c r="L15" s="15"/>
      <c r="M15" s="15"/>
      <c r="N15" s="15"/>
      <c r="O15" s="15"/>
      <c r="P15" s="15"/>
      <c r="Q15" s="15"/>
      <c r="R15" s="15"/>
      <c r="S15" s="15"/>
    </row>
    <row r="16" ht="15" customHeight="true" spans="1:19">
      <c r="A16" s="5">
        <v>13</v>
      </c>
      <c r="B16" s="5" t="s">
        <v>13</v>
      </c>
      <c r="C16" s="5" t="s">
        <v>340</v>
      </c>
      <c r="D16" s="5" t="s">
        <v>58</v>
      </c>
      <c r="E16" s="12">
        <f>31500</f>
        <v>31500</v>
      </c>
      <c r="F16" s="13">
        <v>1</v>
      </c>
      <c r="G16" s="12">
        <f t="shared" si="0"/>
        <v>31500</v>
      </c>
      <c r="H16" s="14">
        <v>0.5</v>
      </c>
      <c r="I16" s="12">
        <f t="shared" si="1"/>
        <v>15700</v>
      </c>
      <c r="J16" s="18"/>
      <c r="K16" s="15"/>
      <c r="L16" s="15"/>
      <c r="M16" s="15"/>
      <c r="N16" s="15"/>
      <c r="O16" s="15"/>
      <c r="P16" s="15"/>
      <c r="Q16" s="15"/>
      <c r="R16" s="15"/>
      <c r="S16" s="15"/>
    </row>
    <row r="17" ht="15" customHeight="true" spans="1:19">
      <c r="A17" s="5">
        <v>14</v>
      </c>
      <c r="B17" s="5" t="s">
        <v>13</v>
      </c>
      <c r="C17" s="5" t="s">
        <v>32</v>
      </c>
      <c r="D17" s="5" t="s">
        <v>20</v>
      </c>
      <c r="E17" s="12">
        <f>12000+(12000*6%)</f>
        <v>12720</v>
      </c>
      <c r="F17" s="13">
        <v>2</v>
      </c>
      <c r="G17" s="12">
        <f t="shared" si="0"/>
        <v>25440</v>
      </c>
      <c r="H17" s="14">
        <v>0.5</v>
      </c>
      <c r="I17" s="12">
        <f t="shared" si="1"/>
        <v>12700</v>
      </c>
      <c r="J17" s="18"/>
      <c r="K17" s="15"/>
      <c r="L17" s="15"/>
      <c r="M17" s="15"/>
      <c r="N17" s="15"/>
      <c r="O17" s="15"/>
      <c r="P17" s="15"/>
      <c r="Q17" s="15"/>
      <c r="R17" s="15"/>
      <c r="S17" s="15"/>
    </row>
    <row r="18" ht="15" customHeight="true" spans="1:19">
      <c r="A18" s="5">
        <v>15</v>
      </c>
      <c r="B18" s="5" t="s">
        <v>13</v>
      </c>
      <c r="C18" s="5" t="s">
        <v>33</v>
      </c>
      <c r="D18" s="5" t="s">
        <v>20</v>
      </c>
      <c r="E18" s="12">
        <f>12000+(12000*6%)</f>
        <v>12720</v>
      </c>
      <c r="F18" s="13">
        <v>1</v>
      </c>
      <c r="G18" s="12">
        <f t="shared" si="0"/>
        <v>12720</v>
      </c>
      <c r="H18" s="14">
        <v>0.5</v>
      </c>
      <c r="I18" s="12">
        <f t="shared" si="1"/>
        <v>6300</v>
      </c>
      <c r="J18" s="18"/>
      <c r="K18" s="15"/>
      <c r="L18" s="15"/>
      <c r="M18" s="15"/>
      <c r="N18" s="15"/>
      <c r="O18" s="15"/>
      <c r="P18" s="15"/>
      <c r="Q18" s="15"/>
      <c r="R18" s="15"/>
      <c r="S18" s="15"/>
    </row>
    <row r="19" ht="15" customHeight="true" spans="1:19">
      <c r="A19" s="5">
        <v>16</v>
      </c>
      <c r="B19" s="5" t="s">
        <v>18</v>
      </c>
      <c r="C19" s="5" t="s">
        <v>341</v>
      </c>
      <c r="D19" s="5" t="s">
        <v>30</v>
      </c>
      <c r="E19" s="12">
        <f>16800</f>
        <v>16800</v>
      </c>
      <c r="F19" s="13">
        <v>1</v>
      </c>
      <c r="G19" s="12">
        <f t="shared" si="0"/>
        <v>16800</v>
      </c>
      <c r="H19" s="14">
        <v>0.5</v>
      </c>
      <c r="I19" s="12">
        <f t="shared" si="1"/>
        <v>8400</v>
      </c>
      <c r="J19" s="18"/>
      <c r="K19" s="15"/>
      <c r="L19" s="15"/>
      <c r="M19" s="15"/>
      <c r="N19" s="15"/>
      <c r="O19" s="15"/>
      <c r="P19" s="15"/>
      <c r="Q19" s="15"/>
      <c r="R19" s="15"/>
      <c r="S19" s="15"/>
    </row>
    <row r="20" ht="15" customHeight="true" spans="1:19">
      <c r="A20" s="5">
        <v>17</v>
      </c>
      <c r="B20" s="5" t="s">
        <v>61</v>
      </c>
      <c r="C20" s="5" t="s">
        <v>342</v>
      </c>
      <c r="D20" s="5" t="s">
        <v>20</v>
      </c>
      <c r="E20" s="12">
        <f>12000+(12000*6%)</f>
        <v>12720</v>
      </c>
      <c r="F20" s="13">
        <v>1</v>
      </c>
      <c r="G20" s="12">
        <f t="shared" si="0"/>
        <v>12720</v>
      </c>
      <c r="H20" s="14">
        <v>0.5</v>
      </c>
      <c r="I20" s="12">
        <f t="shared" si="1"/>
        <v>6300</v>
      </c>
      <c r="J20" s="18"/>
      <c r="K20" s="15"/>
      <c r="L20" s="15"/>
      <c r="M20" s="15"/>
      <c r="N20" s="15"/>
      <c r="O20" s="15"/>
      <c r="P20" s="15"/>
      <c r="Q20" s="15"/>
      <c r="R20" s="15"/>
      <c r="S20" s="15"/>
    </row>
    <row r="21" ht="15" customHeight="true" spans="1:19">
      <c r="A21" s="5">
        <v>18</v>
      </c>
      <c r="B21" s="5" t="s">
        <v>98</v>
      </c>
      <c r="C21" s="5" t="s">
        <v>104</v>
      </c>
      <c r="D21" s="5" t="s">
        <v>20</v>
      </c>
      <c r="E21" s="12">
        <f>12000+(12000*6%)</f>
        <v>12720</v>
      </c>
      <c r="F21" s="13">
        <v>2</v>
      </c>
      <c r="G21" s="12">
        <f t="shared" si="0"/>
        <v>25440</v>
      </c>
      <c r="H21" s="14">
        <v>0.5</v>
      </c>
      <c r="I21" s="12">
        <f t="shared" si="1"/>
        <v>12700</v>
      </c>
      <c r="J21" s="18"/>
      <c r="K21" s="15"/>
      <c r="L21" s="15"/>
      <c r="M21" s="15"/>
      <c r="N21" s="15"/>
      <c r="O21" s="15"/>
      <c r="P21" s="15"/>
      <c r="Q21" s="15"/>
      <c r="R21" s="15"/>
      <c r="S21" s="15"/>
    </row>
    <row r="22" ht="15" customHeight="true" spans="1:19">
      <c r="A22" s="5">
        <v>19</v>
      </c>
      <c r="B22" s="5" t="s">
        <v>16</v>
      </c>
      <c r="C22" s="5" t="s">
        <v>169</v>
      </c>
      <c r="D22" s="5" t="s">
        <v>15</v>
      </c>
      <c r="E22" s="12">
        <f>144000/90*9</f>
        <v>14400</v>
      </c>
      <c r="F22" s="13">
        <v>2</v>
      </c>
      <c r="G22" s="12">
        <f t="shared" si="0"/>
        <v>28800</v>
      </c>
      <c r="H22" s="14">
        <v>0.5</v>
      </c>
      <c r="I22" s="12">
        <f t="shared" si="1"/>
        <v>14400</v>
      </c>
      <c r="J22" s="18"/>
      <c r="K22" s="15"/>
      <c r="L22" s="15"/>
      <c r="M22" s="15"/>
      <c r="N22" s="15"/>
      <c r="O22" s="15"/>
      <c r="P22" s="15"/>
      <c r="Q22" s="15"/>
      <c r="R22" s="15"/>
      <c r="S22" s="15"/>
    </row>
    <row r="23" ht="15" customHeight="true" spans="1:19">
      <c r="A23" s="5">
        <v>20</v>
      </c>
      <c r="B23" s="5" t="s">
        <v>16</v>
      </c>
      <c r="C23" s="5" t="s">
        <v>343</v>
      </c>
      <c r="D23" s="5" t="s">
        <v>15</v>
      </c>
      <c r="E23" s="12">
        <f>144000/90*9</f>
        <v>14400</v>
      </c>
      <c r="F23" s="13">
        <v>2</v>
      </c>
      <c r="G23" s="12">
        <f t="shared" si="0"/>
        <v>28800</v>
      </c>
      <c r="H23" s="14">
        <v>0.5</v>
      </c>
      <c r="I23" s="12">
        <f t="shared" si="1"/>
        <v>14400</v>
      </c>
      <c r="J23" s="18"/>
      <c r="K23" s="15"/>
      <c r="L23" s="15"/>
      <c r="M23" s="15"/>
      <c r="N23" s="15"/>
      <c r="O23" s="15"/>
      <c r="P23" s="15"/>
      <c r="Q23" s="15"/>
      <c r="R23" s="15"/>
      <c r="S23" s="15"/>
    </row>
    <row r="24" ht="15" customHeight="true" spans="1:19">
      <c r="A24" s="5">
        <v>21</v>
      </c>
      <c r="B24" s="5" t="s">
        <v>75</v>
      </c>
      <c r="C24" s="5" t="s">
        <v>145</v>
      </c>
      <c r="D24" s="5" t="s">
        <v>20</v>
      </c>
      <c r="E24" s="12">
        <f>12000+(12000*6%)</f>
        <v>12720</v>
      </c>
      <c r="F24" s="13">
        <v>2</v>
      </c>
      <c r="G24" s="12">
        <f t="shared" si="0"/>
        <v>25440</v>
      </c>
      <c r="H24" s="14">
        <v>0.5</v>
      </c>
      <c r="I24" s="12">
        <f t="shared" si="1"/>
        <v>12700</v>
      </c>
      <c r="J24" s="18"/>
      <c r="K24" s="15"/>
      <c r="L24" s="15"/>
      <c r="M24" s="15"/>
      <c r="N24" s="15"/>
      <c r="O24" s="15"/>
      <c r="P24" s="15"/>
      <c r="Q24" s="15"/>
      <c r="R24" s="15"/>
      <c r="S24" s="15"/>
    </row>
    <row r="25" ht="15" customHeight="true" spans="1:19">
      <c r="A25" s="5">
        <v>22</v>
      </c>
      <c r="B25" s="5" t="s">
        <v>18</v>
      </c>
      <c r="C25" s="5" t="s">
        <v>344</v>
      </c>
      <c r="D25" s="5" t="s">
        <v>131</v>
      </c>
      <c r="E25" s="12">
        <f>39600/18*9</f>
        <v>19800</v>
      </c>
      <c r="F25" s="13">
        <v>2</v>
      </c>
      <c r="G25" s="12">
        <f t="shared" si="0"/>
        <v>39600</v>
      </c>
      <c r="H25" s="14">
        <v>0.5</v>
      </c>
      <c r="I25" s="12">
        <f t="shared" si="1"/>
        <v>19800</v>
      </c>
      <c r="J25" s="18"/>
      <c r="K25" s="15"/>
      <c r="L25" s="15"/>
      <c r="M25" s="15"/>
      <c r="N25" s="15"/>
      <c r="O25" s="15"/>
      <c r="P25" s="15"/>
      <c r="Q25" s="15"/>
      <c r="R25" s="15"/>
      <c r="S25" s="15"/>
    </row>
    <row r="26" ht="15" customHeight="true" spans="1:19">
      <c r="A26" s="5">
        <v>23</v>
      </c>
      <c r="B26" s="5" t="s">
        <v>21</v>
      </c>
      <c r="C26" s="5" t="s">
        <v>345</v>
      </c>
      <c r="D26" s="5" t="s">
        <v>301</v>
      </c>
      <c r="E26" s="12">
        <f>13600/18*9</f>
        <v>6800</v>
      </c>
      <c r="F26" s="13">
        <v>2</v>
      </c>
      <c r="G26" s="12">
        <f t="shared" si="0"/>
        <v>13600</v>
      </c>
      <c r="H26" s="14">
        <v>0.5</v>
      </c>
      <c r="I26" s="12">
        <f t="shared" si="1"/>
        <v>6800</v>
      </c>
      <c r="J26" s="18"/>
      <c r="K26" s="15"/>
      <c r="L26" s="15"/>
      <c r="M26" s="15"/>
      <c r="N26" s="15"/>
      <c r="O26" s="15"/>
      <c r="P26" s="15"/>
      <c r="Q26" s="15"/>
      <c r="R26" s="15"/>
      <c r="S26" s="15"/>
    </row>
    <row r="27" ht="15" customHeight="true" spans="1:19">
      <c r="A27" s="5">
        <v>24</v>
      </c>
      <c r="B27" s="5" t="s">
        <v>18</v>
      </c>
      <c r="C27" s="5" t="s">
        <v>188</v>
      </c>
      <c r="D27" s="5" t="s">
        <v>131</v>
      </c>
      <c r="E27" s="12">
        <f>39600/18*9</f>
        <v>19800</v>
      </c>
      <c r="F27" s="13">
        <v>2</v>
      </c>
      <c r="G27" s="12">
        <f t="shared" si="0"/>
        <v>39600</v>
      </c>
      <c r="H27" s="14">
        <v>0.5</v>
      </c>
      <c r="I27" s="12">
        <f t="shared" si="1"/>
        <v>19800</v>
      </c>
      <c r="J27" s="18"/>
      <c r="K27" s="15"/>
      <c r="L27" s="15"/>
      <c r="M27" s="15"/>
      <c r="N27" s="15"/>
      <c r="O27" s="15"/>
      <c r="P27" s="15"/>
      <c r="Q27" s="15"/>
      <c r="R27" s="15"/>
      <c r="S27" s="15"/>
    </row>
    <row r="28" ht="15" customHeight="true" spans="1:19">
      <c r="A28" s="5">
        <v>25</v>
      </c>
      <c r="B28" s="5" t="s">
        <v>18</v>
      </c>
      <c r="C28" s="5" t="s">
        <v>188</v>
      </c>
      <c r="D28" s="5" t="s">
        <v>338</v>
      </c>
      <c r="E28" s="12">
        <f>33900/12*9</f>
        <v>25425</v>
      </c>
      <c r="F28" s="13">
        <v>1</v>
      </c>
      <c r="G28" s="12">
        <f t="shared" si="0"/>
        <v>25425</v>
      </c>
      <c r="H28" s="14">
        <v>0.5</v>
      </c>
      <c r="I28" s="12">
        <f t="shared" si="1"/>
        <v>12700</v>
      </c>
      <c r="J28" s="18"/>
      <c r="K28" s="15"/>
      <c r="L28" s="15"/>
      <c r="M28" s="15"/>
      <c r="N28" s="15"/>
      <c r="O28" s="15"/>
      <c r="P28" s="15"/>
      <c r="Q28" s="15"/>
      <c r="R28" s="15"/>
      <c r="S28" s="15"/>
    </row>
    <row r="29" ht="15" customHeight="true" spans="1:19">
      <c r="A29" s="5">
        <v>26</v>
      </c>
      <c r="B29" s="5" t="s">
        <v>18</v>
      </c>
      <c r="C29" s="5" t="s">
        <v>166</v>
      </c>
      <c r="D29" s="5" t="s">
        <v>131</v>
      </c>
      <c r="E29" s="12">
        <f>39600/18*9</f>
        <v>19800</v>
      </c>
      <c r="F29" s="13">
        <v>2</v>
      </c>
      <c r="G29" s="12">
        <f t="shared" si="0"/>
        <v>39600</v>
      </c>
      <c r="H29" s="14">
        <v>0.5</v>
      </c>
      <c r="I29" s="12">
        <f t="shared" si="1"/>
        <v>19800</v>
      </c>
      <c r="J29" s="18"/>
      <c r="K29" s="15"/>
      <c r="L29" s="15"/>
      <c r="M29" s="15"/>
      <c r="N29" s="15"/>
      <c r="O29" s="15"/>
      <c r="P29" s="15"/>
      <c r="Q29" s="15"/>
      <c r="R29" s="15"/>
      <c r="S29" s="15"/>
    </row>
    <row r="30" ht="15" customHeight="true" spans="1:19">
      <c r="A30" s="5">
        <v>27</v>
      </c>
      <c r="B30" s="5" t="s">
        <v>18</v>
      </c>
      <c r="C30" s="5" t="s">
        <v>166</v>
      </c>
      <c r="D30" s="5" t="s">
        <v>338</v>
      </c>
      <c r="E30" s="12">
        <f>33900/12*9</f>
        <v>25425</v>
      </c>
      <c r="F30" s="13">
        <v>1</v>
      </c>
      <c r="G30" s="12">
        <f t="shared" si="0"/>
        <v>25425</v>
      </c>
      <c r="H30" s="14">
        <v>0.5</v>
      </c>
      <c r="I30" s="12">
        <f t="shared" si="1"/>
        <v>12700</v>
      </c>
      <c r="J30" s="18"/>
      <c r="K30" s="15"/>
      <c r="L30" s="15"/>
      <c r="M30" s="15"/>
      <c r="N30" s="15"/>
      <c r="O30" s="15"/>
      <c r="P30" s="15"/>
      <c r="Q30" s="15"/>
      <c r="R30" s="15"/>
      <c r="S30" s="15"/>
    </row>
    <row r="31" ht="15" customHeight="true" spans="1:19">
      <c r="A31" s="5">
        <v>28</v>
      </c>
      <c r="B31" s="5" t="s">
        <v>18</v>
      </c>
      <c r="C31" s="5" t="s">
        <v>346</v>
      </c>
      <c r="D31" s="5" t="s">
        <v>347</v>
      </c>
      <c r="E31" s="12">
        <f>25000/20*9</f>
        <v>11250</v>
      </c>
      <c r="F31" s="13">
        <v>2</v>
      </c>
      <c r="G31" s="12">
        <f t="shared" si="0"/>
        <v>22500</v>
      </c>
      <c r="H31" s="14">
        <v>0.5</v>
      </c>
      <c r="I31" s="12">
        <f t="shared" si="1"/>
        <v>11200</v>
      </c>
      <c r="J31" s="18"/>
      <c r="K31" s="15"/>
      <c r="L31" s="15"/>
      <c r="M31" s="15"/>
      <c r="N31" s="15"/>
      <c r="O31" s="15"/>
      <c r="P31" s="15"/>
      <c r="Q31" s="15"/>
      <c r="R31" s="15"/>
      <c r="S31" s="15"/>
    </row>
    <row r="32" ht="15" customHeight="true" spans="1:19">
      <c r="A32" s="5">
        <v>29</v>
      </c>
      <c r="B32" s="5" t="s">
        <v>13</v>
      </c>
      <c r="C32" s="5" t="s">
        <v>274</v>
      </c>
      <c r="D32" s="5" t="s">
        <v>20</v>
      </c>
      <c r="E32" s="12">
        <f>12000+(12000*6%)</f>
        <v>12720</v>
      </c>
      <c r="F32" s="13">
        <v>1</v>
      </c>
      <c r="G32" s="12">
        <f t="shared" si="0"/>
        <v>12720</v>
      </c>
      <c r="H32" s="14">
        <v>0.5</v>
      </c>
      <c r="I32" s="12">
        <f t="shared" si="1"/>
        <v>6300</v>
      </c>
      <c r="J32" s="18"/>
      <c r="K32" s="15"/>
      <c r="L32" s="15"/>
      <c r="M32" s="15"/>
      <c r="N32" s="15"/>
      <c r="O32" s="15"/>
      <c r="P32" s="15"/>
      <c r="Q32" s="15"/>
      <c r="R32" s="15"/>
      <c r="S32" s="15"/>
    </row>
    <row r="33" ht="15" customHeight="true" spans="1:19">
      <c r="A33" s="5">
        <v>30</v>
      </c>
      <c r="B33" s="5" t="s">
        <v>13</v>
      </c>
      <c r="C33" s="5" t="s">
        <v>194</v>
      </c>
      <c r="D33" s="5" t="s">
        <v>20</v>
      </c>
      <c r="E33" s="12">
        <f>83952/39*9</f>
        <v>19373.5384615385</v>
      </c>
      <c r="F33" s="13">
        <v>2</v>
      </c>
      <c r="G33" s="12">
        <f t="shared" si="0"/>
        <v>38747.0769230769</v>
      </c>
      <c r="H33" s="14">
        <v>0.5</v>
      </c>
      <c r="I33" s="12">
        <f t="shared" si="1"/>
        <v>19300</v>
      </c>
      <c r="J33" s="18"/>
      <c r="K33" s="15"/>
      <c r="L33" s="15"/>
      <c r="M33" s="15"/>
      <c r="N33" s="15"/>
      <c r="O33" s="15"/>
      <c r="P33" s="15"/>
      <c r="Q33" s="15"/>
      <c r="R33" s="15"/>
      <c r="S33" s="15"/>
    </row>
    <row r="34" ht="15" customHeight="true" spans="1:19">
      <c r="A34" s="5">
        <v>31</v>
      </c>
      <c r="B34" s="5" t="s">
        <v>13</v>
      </c>
      <c r="C34" s="5" t="s">
        <v>348</v>
      </c>
      <c r="D34" s="5" t="s">
        <v>15</v>
      </c>
      <c r="E34" s="12">
        <f>342000/180*9</f>
        <v>17100</v>
      </c>
      <c r="F34" s="13">
        <v>2</v>
      </c>
      <c r="G34" s="12">
        <f t="shared" si="0"/>
        <v>34200</v>
      </c>
      <c r="H34" s="14">
        <v>0.5</v>
      </c>
      <c r="I34" s="12">
        <f t="shared" si="1"/>
        <v>17100</v>
      </c>
      <c r="J34" s="18"/>
      <c r="K34" s="15"/>
      <c r="L34" s="15"/>
      <c r="M34" s="15"/>
      <c r="N34" s="15"/>
      <c r="O34" s="15"/>
      <c r="P34" s="15"/>
      <c r="Q34" s="15"/>
      <c r="R34" s="15"/>
      <c r="S34" s="15"/>
    </row>
    <row r="35" ht="15" customHeight="true" spans="1:19">
      <c r="A35" s="5">
        <v>32</v>
      </c>
      <c r="B35" s="5" t="s">
        <v>18</v>
      </c>
      <c r="C35" s="5" t="s">
        <v>349</v>
      </c>
      <c r="D35" s="5" t="s">
        <v>338</v>
      </c>
      <c r="E35" s="12">
        <f>100800/42*9</f>
        <v>21600</v>
      </c>
      <c r="F35" s="13">
        <v>2</v>
      </c>
      <c r="G35" s="12">
        <f t="shared" si="0"/>
        <v>43200</v>
      </c>
      <c r="H35" s="14">
        <v>0.5</v>
      </c>
      <c r="I35" s="12">
        <f t="shared" si="1"/>
        <v>21600</v>
      </c>
      <c r="J35" s="18"/>
      <c r="K35" s="15"/>
      <c r="L35" s="15"/>
      <c r="M35" s="15"/>
      <c r="N35" s="15"/>
      <c r="O35" s="15"/>
      <c r="P35" s="15"/>
      <c r="Q35" s="15"/>
      <c r="R35" s="15"/>
      <c r="S35" s="15"/>
    </row>
    <row r="36" ht="15" customHeight="true" spans="1:19">
      <c r="A36" s="5">
        <v>33</v>
      </c>
      <c r="B36" s="5" t="s">
        <v>18</v>
      </c>
      <c r="C36" s="5" t="s">
        <v>349</v>
      </c>
      <c r="D36" s="5" t="s">
        <v>131</v>
      </c>
      <c r="E36" s="12">
        <f>19800/18*9</f>
        <v>9900</v>
      </c>
      <c r="F36" s="13">
        <v>2</v>
      </c>
      <c r="G36" s="12">
        <f t="shared" si="0"/>
        <v>19800</v>
      </c>
      <c r="H36" s="14">
        <v>0.5</v>
      </c>
      <c r="I36" s="12">
        <f t="shared" si="1"/>
        <v>9900</v>
      </c>
      <c r="J36" s="18"/>
      <c r="K36" s="15"/>
      <c r="L36" s="15"/>
      <c r="M36" s="15"/>
      <c r="N36" s="15"/>
      <c r="O36" s="15"/>
      <c r="P36" s="15"/>
      <c r="Q36" s="15"/>
      <c r="R36" s="15"/>
      <c r="S36" s="15"/>
    </row>
    <row r="37" ht="15" customHeight="true" spans="1:19">
      <c r="A37" s="5">
        <v>34</v>
      </c>
      <c r="B37" s="5" t="s">
        <v>25</v>
      </c>
      <c r="C37" s="5" t="s">
        <v>350</v>
      </c>
      <c r="D37" s="5" t="s">
        <v>131</v>
      </c>
      <c r="E37" s="12">
        <f>19800/18*9</f>
        <v>9900</v>
      </c>
      <c r="F37" s="13">
        <v>2</v>
      </c>
      <c r="G37" s="12">
        <f t="shared" si="0"/>
        <v>19800</v>
      </c>
      <c r="H37" s="14">
        <v>0.5</v>
      </c>
      <c r="I37" s="12">
        <f t="shared" si="1"/>
        <v>9900</v>
      </c>
      <c r="J37" s="18"/>
      <c r="K37" s="15"/>
      <c r="L37" s="15"/>
      <c r="M37" s="15"/>
      <c r="N37" s="15"/>
      <c r="O37" s="15"/>
      <c r="P37" s="15"/>
      <c r="Q37" s="15"/>
      <c r="R37" s="15"/>
      <c r="S37" s="15"/>
    </row>
    <row r="38" ht="15" customHeight="true" spans="1:19">
      <c r="A38" s="5">
        <v>35</v>
      </c>
      <c r="B38" s="5" t="s">
        <v>25</v>
      </c>
      <c r="C38" s="5" t="s">
        <v>165</v>
      </c>
      <c r="D38" s="5" t="s">
        <v>338</v>
      </c>
      <c r="E38" s="12">
        <f>42000/15*9</f>
        <v>25200</v>
      </c>
      <c r="F38" s="13">
        <v>1</v>
      </c>
      <c r="G38" s="12">
        <f t="shared" si="0"/>
        <v>25200</v>
      </c>
      <c r="H38" s="14">
        <v>0.5</v>
      </c>
      <c r="I38" s="12">
        <f t="shared" si="1"/>
        <v>12600</v>
      </c>
      <c r="J38" s="18"/>
      <c r="K38" s="15"/>
      <c r="L38" s="15"/>
      <c r="M38" s="15"/>
      <c r="N38" s="15"/>
      <c r="O38" s="15"/>
      <c r="P38" s="15"/>
      <c r="Q38" s="15"/>
      <c r="R38" s="15"/>
      <c r="S38" s="15"/>
    </row>
    <row r="39" ht="15" customHeight="true" spans="1:19">
      <c r="A39" s="5">
        <v>36</v>
      </c>
      <c r="B39" s="5" t="s">
        <v>25</v>
      </c>
      <c r="C39" s="5" t="s">
        <v>165</v>
      </c>
      <c r="D39" s="5" t="s">
        <v>131</v>
      </c>
      <c r="E39" s="12">
        <f>39600/18*9</f>
        <v>19800</v>
      </c>
      <c r="F39" s="13">
        <v>2</v>
      </c>
      <c r="G39" s="12">
        <f t="shared" si="0"/>
        <v>39600</v>
      </c>
      <c r="H39" s="14">
        <v>0.5</v>
      </c>
      <c r="I39" s="12">
        <f t="shared" si="1"/>
        <v>19800</v>
      </c>
      <c r="J39" s="18"/>
      <c r="K39" s="15"/>
      <c r="L39" s="15"/>
      <c r="M39" s="15"/>
      <c r="N39" s="15"/>
      <c r="O39" s="15"/>
      <c r="P39" s="15"/>
      <c r="Q39" s="15"/>
      <c r="R39" s="15"/>
      <c r="S39" s="15"/>
    </row>
    <row r="40" ht="15" customHeight="true" spans="1:19">
      <c r="A40" s="5">
        <v>37</v>
      </c>
      <c r="B40" s="5" t="s">
        <v>18</v>
      </c>
      <c r="C40" s="5" t="s">
        <v>190</v>
      </c>
      <c r="D40" s="5" t="s">
        <v>338</v>
      </c>
      <c r="E40" s="12">
        <f>89700/36*9</f>
        <v>22425</v>
      </c>
      <c r="F40" s="13">
        <v>2</v>
      </c>
      <c r="G40" s="12">
        <f t="shared" si="0"/>
        <v>44850</v>
      </c>
      <c r="H40" s="14">
        <v>0.5</v>
      </c>
      <c r="I40" s="12">
        <f t="shared" si="1"/>
        <v>22400</v>
      </c>
      <c r="J40" s="18"/>
      <c r="K40" s="15"/>
      <c r="L40" s="15"/>
      <c r="M40" s="15"/>
      <c r="N40" s="15"/>
      <c r="O40" s="15"/>
      <c r="P40" s="15"/>
      <c r="Q40" s="15"/>
      <c r="R40" s="15"/>
      <c r="S40" s="15"/>
    </row>
    <row r="41" ht="15" customHeight="true" spans="1:19">
      <c r="A41" s="5">
        <v>38</v>
      </c>
      <c r="B41" s="5" t="s">
        <v>18</v>
      </c>
      <c r="C41" s="5" t="s">
        <v>190</v>
      </c>
      <c r="D41" s="5" t="s">
        <v>131</v>
      </c>
      <c r="E41" s="12">
        <f>39600/18*9</f>
        <v>19800</v>
      </c>
      <c r="F41" s="13">
        <v>2</v>
      </c>
      <c r="G41" s="12">
        <f t="shared" si="0"/>
        <v>39600</v>
      </c>
      <c r="H41" s="14">
        <v>0.5</v>
      </c>
      <c r="I41" s="12">
        <f t="shared" si="1"/>
        <v>19800</v>
      </c>
      <c r="J41" s="18"/>
      <c r="K41" s="15"/>
      <c r="L41" s="15"/>
      <c r="M41" s="15"/>
      <c r="N41" s="15"/>
      <c r="O41" s="15"/>
      <c r="P41" s="15"/>
      <c r="Q41" s="15"/>
      <c r="R41" s="15"/>
      <c r="S41" s="15"/>
    </row>
    <row r="42" ht="15" customHeight="true" spans="1:19">
      <c r="A42" s="5">
        <v>39</v>
      </c>
      <c r="B42" s="5" t="s">
        <v>59</v>
      </c>
      <c r="C42" s="5" t="s">
        <v>351</v>
      </c>
      <c r="D42" s="5" t="s">
        <v>131</v>
      </c>
      <c r="E42" s="12">
        <f>39600/18*9</f>
        <v>19800</v>
      </c>
      <c r="F42" s="13">
        <v>2</v>
      </c>
      <c r="G42" s="12">
        <f t="shared" si="0"/>
        <v>39600</v>
      </c>
      <c r="H42" s="14">
        <v>0.5</v>
      </c>
      <c r="I42" s="12">
        <f t="shared" si="1"/>
        <v>19800</v>
      </c>
      <c r="J42" s="18"/>
      <c r="K42" s="15"/>
      <c r="L42" s="15"/>
      <c r="M42" s="15"/>
      <c r="N42" s="15"/>
      <c r="O42" s="15"/>
      <c r="P42" s="15"/>
      <c r="Q42" s="15"/>
      <c r="R42" s="15"/>
      <c r="S42" s="15"/>
    </row>
    <row r="43" ht="15" customHeight="true" spans="1:19">
      <c r="A43" s="5">
        <v>40</v>
      </c>
      <c r="B43" s="5" t="s">
        <v>16</v>
      </c>
      <c r="C43" s="5" t="s">
        <v>352</v>
      </c>
      <c r="D43" s="5" t="s">
        <v>131</v>
      </c>
      <c r="E43" s="12">
        <f>39600/18*9</f>
        <v>19800</v>
      </c>
      <c r="F43" s="13">
        <v>2</v>
      </c>
      <c r="G43" s="12">
        <f t="shared" si="0"/>
        <v>39600</v>
      </c>
      <c r="H43" s="14">
        <v>0.5</v>
      </c>
      <c r="I43" s="12">
        <f t="shared" si="1"/>
        <v>19800</v>
      </c>
      <c r="J43" s="18"/>
      <c r="K43" s="15"/>
      <c r="L43" s="15"/>
      <c r="M43" s="15"/>
      <c r="N43" s="15"/>
      <c r="O43" s="15"/>
      <c r="P43" s="15"/>
      <c r="Q43" s="15"/>
      <c r="R43" s="15"/>
      <c r="S43" s="15"/>
    </row>
    <row r="44" ht="15" customHeight="true" spans="1:19">
      <c r="A44" s="5">
        <v>41</v>
      </c>
      <c r="B44" s="5" t="s">
        <v>13</v>
      </c>
      <c r="C44" s="5" t="s">
        <v>353</v>
      </c>
      <c r="D44" s="5" t="s">
        <v>338</v>
      </c>
      <c r="E44" s="12">
        <f>82180/31.5*9</f>
        <v>23480</v>
      </c>
      <c r="F44" s="13">
        <v>2</v>
      </c>
      <c r="G44" s="12">
        <f t="shared" si="0"/>
        <v>46960</v>
      </c>
      <c r="H44" s="14">
        <v>0.5</v>
      </c>
      <c r="I44" s="12">
        <f t="shared" si="1"/>
        <v>23400</v>
      </c>
      <c r="J44" s="18"/>
      <c r="K44" s="15"/>
      <c r="L44" s="15"/>
      <c r="M44" s="15"/>
      <c r="N44" s="15"/>
      <c r="O44" s="15"/>
      <c r="P44" s="15"/>
      <c r="Q44" s="15"/>
      <c r="R44" s="15"/>
      <c r="S44" s="15"/>
    </row>
    <row r="45" ht="15" customHeight="true" spans="1:19">
      <c r="A45" s="5">
        <v>42</v>
      </c>
      <c r="B45" s="5" t="s">
        <v>13</v>
      </c>
      <c r="C45" s="5" t="s">
        <v>353</v>
      </c>
      <c r="D45" s="5" t="s">
        <v>131</v>
      </c>
      <c r="E45" s="12">
        <f>39600/18*9</f>
        <v>19800</v>
      </c>
      <c r="F45" s="13">
        <v>2</v>
      </c>
      <c r="G45" s="12">
        <f t="shared" si="0"/>
        <v>39600</v>
      </c>
      <c r="H45" s="14">
        <v>0.5</v>
      </c>
      <c r="I45" s="12">
        <f t="shared" si="1"/>
        <v>19800</v>
      </c>
      <c r="J45" s="18"/>
      <c r="K45" s="15"/>
      <c r="L45" s="15"/>
      <c r="M45" s="15"/>
      <c r="N45" s="15"/>
      <c r="O45" s="15"/>
      <c r="P45" s="15"/>
      <c r="Q45" s="15"/>
      <c r="R45" s="15"/>
      <c r="S45" s="15"/>
    </row>
    <row r="46" ht="15" customHeight="true" spans="1:19">
      <c r="A46" s="5">
        <v>43</v>
      </c>
      <c r="B46" s="5" t="s">
        <v>28</v>
      </c>
      <c r="C46" s="5" t="s">
        <v>354</v>
      </c>
      <c r="D46" s="5" t="s">
        <v>338</v>
      </c>
      <c r="E46" s="12">
        <f>25500/12*9</f>
        <v>19125</v>
      </c>
      <c r="F46" s="13">
        <v>1</v>
      </c>
      <c r="G46" s="12">
        <f t="shared" si="0"/>
        <v>19125</v>
      </c>
      <c r="H46" s="14">
        <v>0.5</v>
      </c>
      <c r="I46" s="12">
        <f t="shared" si="1"/>
        <v>9500</v>
      </c>
      <c r="J46" s="18"/>
      <c r="K46" s="15"/>
      <c r="L46" s="15"/>
      <c r="M46" s="15"/>
      <c r="N46" s="15"/>
      <c r="O46" s="15"/>
      <c r="P46" s="15"/>
      <c r="Q46" s="15"/>
      <c r="R46" s="15"/>
      <c r="S46" s="15"/>
    </row>
    <row r="47" ht="15" customHeight="true" spans="1:19">
      <c r="A47" s="5">
        <v>44</v>
      </c>
      <c r="B47" s="5" t="s">
        <v>51</v>
      </c>
      <c r="C47" s="5" t="s">
        <v>52</v>
      </c>
      <c r="D47" s="5" t="s">
        <v>20</v>
      </c>
      <c r="E47" s="12">
        <f>83952/36*9</f>
        <v>20988</v>
      </c>
      <c r="F47" s="13">
        <v>2</v>
      </c>
      <c r="G47" s="12">
        <f t="shared" si="0"/>
        <v>41976</v>
      </c>
      <c r="H47" s="14">
        <v>0.5</v>
      </c>
      <c r="I47" s="12">
        <f t="shared" si="1"/>
        <v>20900</v>
      </c>
      <c r="J47" s="18"/>
      <c r="K47" s="15"/>
      <c r="L47" s="15"/>
      <c r="M47" s="15"/>
      <c r="N47" s="15"/>
      <c r="O47" s="15"/>
      <c r="P47" s="15"/>
      <c r="Q47" s="15"/>
      <c r="R47" s="15"/>
      <c r="S47" s="15"/>
    </row>
    <row r="48" ht="15" customHeight="true" spans="1:19">
      <c r="A48" s="5">
        <v>45</v>
      </c>
      <c r="B48" s="5" t="s">
        <v>13</v>
      </c>
      <c r="C48" s="5" t="s">
        <v>53</v>
      </c>
      <c r="D48" s="5" t="s">
        <v>20</v>
      </c>
      <c r="E48" s="12">
        <f>12000+(12000*6%)</f>
        <v>12720</v>
      </c>
      <c r="F48" s="13">
        <v>2</v>
      </c>
      <c r="G48" s="12">
        <f t="shared" si="0"/>
        <v>25440</v>
      </c>
      <c r="H48" s="14">
        <v>0.5</v>
      </c>
      <c r="I48" s="12">
        <f t="shared" si="1"/>
        <v>12700</v>
      </c>
      <c r="J48" s="18"/>
      <c r="K48" s="15"/>
      <c r="L48" s="15"/>
      <c r="M48" s="15"/>
      <c r="N48" s="15"/>
      <c r="O48" s="15"/>
      <c r="P48" s="15"/>
      <c r="Q48" s="15"/>
      <c r="R48" s="15"/>
      <c r="S48" s="15"/>
    </row>
    <row r="49" ht="15" customHeight="true" spans="1:19">
      <c r="A49" s="5">
        <v>46</v>
      </c>
      <c r="B49" s="5" t="s">
        <v>23</v>
      </c>
      <c r="C49" s="5" t="s">
        <v>238</v>
      </c>
      <c r="D49" s="5" t="s">
        <v>131</v>
      </c>
      <c r="E49" s="12">
        <f>39600/18*9</f>
        <v>19800</v>
      </c>
      <c r="F49" s="13">
        <v>2</v>
      </c>
      <c r="G49" s="12">
        <f t="shared" si="0"/>
        <v>39600</v>
      </c>
      <c r="H49" s="14">
        <v>0.5</v>
      </c>
      <c r="I49" s="12">
        <f t="shared" si="1"/>
        <v>19800</v>
      </c>
      <c r="J49" s="18"/>
      <c r="K49" s="15"/>
      <c r="L49" s="15"/>
      <c r="M49" s="15"/>
      <c r="N49" s="15"/>
      <c r="O49" s="15"/>
      <c r="P49" s="15"/>
      <c r="Q49" s="15"/>
      <c r="R49" s="15"/>
      <c r="S49" s="15"/>
    </row>
    <row r="50" ht="15" customHeight="true" spans="1:19">
      <c r="A50" s="5">
        <v>47</v>
      </c>
      <c r="B50" s="5" t="s">
        <v>23</v>
      </c>
      <c r="C50" s="5" t="s">
        <v>238</v>
      </c>
      <c r="D50" s="5" t="s">
        <v>338</v>
      </c>
      <c r="E50" s="12">
        <f>33900/12*9</f>
        <v>25425</v>
      </c>
      <c r="F50" s="13">
        <v>1</v>
      </c>
      <c r="G50" s="12">
        <f t="shared" si="0"/>
        <v>25425</v>
      </c>
      <c r="H50" s="14">
        <v>0.5</v>
      </c>
      <c r="I50" s="12">
        <f t="shared" si="1"/>
        <v>12700</v>
      </c>
      <c r="J50" s="18"/>
      <c r="K50" s="15"/>
      <c r="L50" s="15"/>
      <c r="M50" s="15"/>
      <c r="N50" s="15"/>
      <c r="O50" s="15"/>
      <c r="P50" s="15"/>
      <c r="Q50" s="15"/>
      <c r="R50" s="15"/>
      <c r="S50" s="15"/>
    </row>
    <row r="51" ht="15" customHeight="true" spans="1:19">
      <c r="A51" s="5">
        <v>48</v>
      </c>
      <c r="B51" s="5" t="s">
        <v>112</v>
      </c>
      <c r="C51" s="5" t="s">
        <v>355</v>
      </c>
      <c r="D51" s="5" t="s">
        <v>131</v>
      </c>
      <c r="E51" s="12">
        <f>39600/18*9</f>
        <v>19800</v>
      </c>
      <c r="F51" s="13">
        <v>2</v>
      </c>
      <c r="G51" s="12">
        <f t="shared" si="0"/>
        <v>39600</v>
      </c>
      <c r="H51" s="14">
        <v>0.5</v>
      </c>
      <c r="I51" s="12">
        <f t="shared" si="1"/>
        <v>19800</v>
      </c>
      <c r="J51" s="18"/>
      <c r="K51" s="15"/>
      <c r="L51" s="15"/>
      <c r="M51" s="15"/>
      <c r="N51" s="15"/>
      <c r="O51" s="15"/>
      <c r="P51" s="15"/>
      <c r="Q51" s="15"/>
      <c r="R51" s="15"/>
      <c r="S51" s="15"/>
    </row>
    <row r="52" ht="15" customHeight="true" spans="1:19">
      <c r="A52" s="5">
        <v>49</v>
      </c>
      <c r="B52" s="5" t="s">
        <v>23</v>
      </c>
      <c r="C52" s="5" t="s">
        <v>356</v>
      </c>
      <c r="D52" s="5" t="s">
        <v>131</v>
      </c>
      <c r="E52" s="12">
        <f>39600/18*9</f>
        <v>19800</v>
      </c>
      <c r="F52" s="13">
        <v>2</v>
      </c>
      <c r="G52" s="12">
        <f t="shared" si="0"/>
        <v>39600</v>
      </c>
      <c r="H52" s="14">
        <v>0.5</v>
      </c>
      <c r="I52" s="12">
        <f t="shared" si="1"/>
        <v>19800</v>
      </c>
      <c r="J52" s="18"/>
      <c r="K52" s="15"/>
      <c r="L52" s="15"/>
      <c r="M52" s="15"/>
      <c r="N52" s="15"/>
      <c r="O52" s="15"/>
      <c r="P52" s="15"/>
      <c r="Q52" s="15"/>
      <c r="R52" s="15"/>
      <c r="S52" s="15"/>
    </row>
    <row r="53" ht="15" customHeight="true" spans="1:19">
      <c r="A53" s="5">
        <v>50</v>
      </c>
      <c r="B53" s="5" t="s">
        <v>21</v>
      </c>
      <c r="C53" s="5" t="s">
        <v>357</v>
      </c>
      <c r="D53" s="5" t="s">
        <v>338</v>
      </c>
      <c r="E53" s="12">
        <f>33900/12*9</f>
        <v>25425</v>
      </c>
      <c r="F53" s="13">
        <v>1</v>
      </c>
      <c r="G53" s="12">
        <f t="shared" si="0"/>
        <v>25425</v>
      </c>
      <c r="H53" s="14">
        <v>0.5</v>
      </c>
      <c r="I53" s="12">
        <f t="shared" si="1"/>
        <v>12700</v>
      </c>
      <c r="J53" s="18"/>
      <c r="K53" s="15"/>
      <c r="L53" s="15"/>
      <c r="M53" s="15"/>
      <c r="N53" s="15"/>
      <c r="O53" s="15"/>
      <c r="P53" s="15"/>
      <c r="Q53" s="15"/>
      <c r="R53" s="15"/>
      <c r="S53" s="15"/>
    </row>
    <row r="54" ht="15" customHeight="true" spans="1:19">
      <c r="A54" s="5">
        <v>51</v>
      </c>
      <c r="B54" s="5" t="s">
        <v>112</v>
      </c>
      <c r="C54" s="5" t="s">
        <v>172</v>
      </c>
      <c r="D54" s="5" t="s">
        <v>20</v>
      </c>
      <c r="E54" s="12">
        <f>12000+(12000*6%)</f>
        <v>12720</v>
      </c>
      <c r="F54" s="13">
        <v>2</v>
      </c>
      <c r="G54" s="12">
        <f t="shared" si="0"/>
        <v>25440</v>
      </c>
      <c r="H54" s="14">
        <v>0.5</v>
      </c>
      <c r="I54" s="12">
        <f t="shared" si="1"/>
        <v>12700</v>
      </c>
      <c r="J54" s="18"/>
      <c r="K54" s="15"/>
      <c r="L54" s="15"/>
      <c r="M54" s="15"/>
      <c r="N54" s="15"/>
      <c r="O54" s="15"/>
      <c r="P54" s="15"/>
      <c r="Q54" s="15"/>
      <c r="R54" s="15"/>
      <c r="S54" s="15"/>
    </row>
    <row r="55" ht="15" customHeight="true" spans="1:19">
      <c r="A55" s="5">
        <v>52</v>
      </c>
      <c r="B55" s="5" t="s">
        <v>28</v>
      </c>
      <c r="C55" s="5" t="s">
        <v>358</v>
      </c>
      <c r="D55" s="5" t="s">
        <v>15</v>
      </c>
      <c r="E55" s="12">
        <f>75200/8</f>
        <v>9400</v>
      </c>
      <c r="F55" s="13">
        <v>2</v>
      </c>
      <c r="G55" s="12">
        <f t="shared" si="0"/>
        <v>18800</v>
      </c>
      <c r="H55" s="14">
        <v>0.5</v>
      </c>
      <c r="I55" s="12">
        <f t="shared" si="1"/>
        <v>9400</v>
      </c>
      <c r="J55" s="18"/>
      <c r="K55" s="15"/>
      <c r="L55" s="15"/>
      <c r="M55" s="15"/>
      <c r="N55" s="15"/>
      <c r="O55" s="15"/>
      <c r="P55" s="15"/>
      <c r="Q55" s="15"/>
      <c r="R55" s="15"/>
      <c r="S55" s="15"/>
    </row>
    <row r="56" ht="15" customHeight="true" spans="1:19">
      <c r="A56" s="5">
        <v>53</v>
      </c>
      <c r="B56" s="5" t="s">
        <v>359</v>
      </c>
      <c r="C56" s="5" t="s">
        <v>360</v>
      </c>
      <c r="D56" s="5" t="s">
        <v>30</v>
      </c>
      <c r="E56" s="12">
        <f>16800</f>
        <v>16800</v>
      </c>
      <c r="F56" s="13">
        <v>1</v>
      </c>
      <c r="G56" s="12">
        <f t="shared" si="0"/>
        <v>16800</v>
      </c>
      <c r="H56" s="14">
        <v>0.5</v>
      </c>
      <c r="I56" s="12">
        <f t="shared" si="1"/>
        <v>8400</v>
      </c>
      <c r="J56" s="18"/>
      <c r="K56" s="15"/>
      <c r="L56" s="15"/>
      <c r="M56" s="15"/>
      <c r="N56" s="15"/>
      <c r="O56" s="15"/>
      <c r="P56" s="15"/>
      <c r="Q56" s="15"/>
      <c r="R56" s="15"/>
      <c r="S56" s="15"/>
    </row>
    <row r="57" ht="15" customHeight="true" spans="1:19">
      <c r="A57" s="5">
        <v>54</v>
      </c>
      <c r="B57" s="5" t="s">
        <v>59</v>
      </c>
      <c r="C57" s="5" t="s">
        <v>130</v>
      </c>
      <c r="D57" s="5" t="s">
        <v>338</v>
      </c>
      <c r="E57" s="12">
        <f>33900/12*9</f>
        <v>25425</v>
      </c>
      <c r="F57" s="13">
        <v>1</v>
      </c>
      <c r="G57" s="12">
        <f t="shared" si="0"/>
        <v>25425</v>
      </c>
      <c r="H57" s="14">
        <v>0.5</v>
      </c>
      <c r="I57" s="12">
        <f t="shared" si="1"/>
        <v>12700</v>
      </c>
      <c r="J57" s="18"/>
      <c r="K57" s="15"/>
      <c r="L57" s="15"/>
      <c r="M57" s="15"/>
      <c r="N57" s="15"/>
      <c r="O57" s="15"/>
      <c r="P57" s="15"/>
      <c r="Q57" s="15"/>
      <c r="R57" s="15"/>
      <c r="S57" s="15"/>
    </row>
    <row r="58" ht="15" customHeight="true" spans="1:19">
      <c r="A58" s="5">
        <v>55</v>
      </c>
      <c r="B58" s="5" t="s">
        <v>359</v>
      </c>
      <c r="C58" s="5" t="s">
        <v>151</v>
      </c>
      <c r="D58" s="5" t="s">
        <v>20</v>
      </c>
      <c r="E58" s="12">
        <f>12000+(12000*6%)</f>
        <v>12720</v>
      </c>
      <c r="F58" s="13">
        <v>1</v>
      </c>
      <c r="G58" s="12">
        <f t="shared" si="0"/>
        <v>12720</v>
      </c>
      <c r="H58" s="14">
        <v>0.5</v>
      </c>
      <c r="I58" s="12">
        <f t="shared" si="1"/>
        <v>6300</v>
      </c>
      <c r="J58" s="18"/>
      <c r="K58" s="15"/>
      <c r="L58" s="15"/>
      <c r="M58" s="15"/>
      <c r="N58" s="15"/>
      <c r="O58" s="15"/>
      <c r="P58" s="15"/>
      <c r="Q58" s="15"/>
      <c r="R58" s="15"/>
      <c r="S58" s="15"/>
    </row>
    <row r="59" ht="15" customHeight="true" spans="1:19">
      <c r="A59" s="5">
        <v>56</v>
      </c>
      <c r="B59" s="5" t="s">
        <v>28</v>
      </c>
      <c r="C59" s="5" t="s">
        <v>361</v>
      </c>
      <c r="D59" s="5" t="s">
        <v>15</v>
      </c>
      <c r="E59" s="12">
        <f>122400/72*9</f>
        <v>15300</v>
      </c>
      <c r="F59" s="13">
        <v>2</v>
      </c>
      <c r="G59" s="12">
        <f t="shared" si="0"/>
        <v>30600</v>
      </c>
      <c r="H59" s="14">
        <v>0.5</v>
      </c>
      <c r="I59" s="12">
        <f t="shared" si="1"/>
        <v>15300</v>
      </c>
      <c r="J59" s="18"/>
      <c r="K59" s="15"/>
      <c r="L59" s="15"/>
      <c r="M59" s="15"/>
      <c r="N59" s="15"/>
      <c r="O59" s="15"/>
      <c r="P59" s="15"/>
      <c r="Q59" s="15"/>
      <c r="R59" s="15"/>
      <c r="S59" s="15"/>
    </row>
    <row r="60" ht="15" customHeight="true" spans="1:19">
      <c r="A60" s="5">
        <v>57</v>
      </c>
      <c r="B60" s="5" t="s">
        <v>25</v>
      </c>
      <c r="C60" s="5" t="s">
        <v>107</v>
      </c>
      <c r="D60" s="5" t="s">
        <v>20</v>
      </c>
      <c r="E60" s="12">
        <f>12000+(12000*6%)</f>
        <v>12720</v>
      </c>
      <c r="F60" s="13">
        <v>2</v>
      </c>
      <c r="G60" s="12">
        <f t="shared" si="0"/>
        <v>25440</v>
      </c>
      <c r="H60" s="14">
        <v>0.5</v>
      </c>
      <c r="I60" s="12">
        <f t="shared" si="1"/>
        <v>12700</v>
      </c>
      <c r="J60" s="18"/>
      <c r="K60" s="15"/>
      <c r="L60" s="15"/>
      <c r="M60" s="15"/>
      <c r="N60" s="15"/>
      <c r="O60" s="15"/>
      <c r="P60" s="15"/>
      <c r="Q60" s="15"/>
      <c r="R60" s="15"/>
      <c r="S60" s="15"/>
    </row>
    <row r="61" ht="15" customHeight="true" spans="1:19">
      <c r="A61" s="5">
        <v>58</v>
      </c>
      <c r="B61" s="5" t="s">
        <v>359</v>
      </c>
      <c r="C61" s="5" t="s">
        <v>362</v>
      </c>
      <c r="D61" s="5" t="s">
        <v>20</v>
      </c>
      <c r="E61" s="12">
        <f>12000+(12000*6%)</f>
        <v>12720</v>
      </c>
      <c r="F61" s="13">
        <v>1</v>
      </c>
      <c r="G61" s="12">
        <f t="shared" si="0"/>
        <v>12720</v>
      </c>
      <c r="H61" s="14">
        <v>0.5</v>
      </c>
      <c r="I61" s="12">
        <f t="shared" si="1"/>
        <v>6300</v>
      </c>
      <c r="J61" s="18"/>
      <c r="K61" s="15"/>
      <c r="L61" s="15"/>
      <c r="M61" s="15"/>
      <c r="N61" s="15"/>
      <c r="O61" s="15"/>
      <c r="P61" s="15"/>
      <c r="Q61" s="15"/>
      <c r="R61" s="15"/>
      <c r="S61" s="15"/>
    </row>
    <row r="62" ht="15" customHeight="true" spans="1:19">
      <c r="A62" s="5">
        <v>59</v>
      </c>
      <c r="B62" s="5" t="s">
        <v>28</v>
      </c>
      <c r="C62" s="5" t="s">
        <v>363</v>
      </c>
      <c r="D62" s="5" t="s">
        <v>44</v>
      </c>
      <c r="E62" s="12">
        <f>81000/54*9</f>
        <v>13500</v>
      </c>
      <c r="F62" s="13">
        <v>2</v>
      </c>
      <c r="G62" s="12">
        <f t="shared" si="0"/>
        <v>27000</v>
      </c>
      <c r="H62" s="14">
        <v>0.5</v>
      </c>
      <c r="I62" s="12">
        <f t="shared" si="1"/>
        <v>13500</v>
      </c>
      <c r="J62" s="18"/>
      <c r="K62" s="15"/>
      <c r="L62" s="15"/>
      <c r="M62" s="15"/>
      <c r="N62" s="15"/>
      <c r="O62" s="15"/>
      <c r="P62" s="15"/>
      <c r="Q62" s="15"/>
      <c r="R62" s="15"/>
      <c r="S62" s="15"/>
    </row>
    <row r="63" ht="15" customHeight="true" spans="1:19">
      <c r="A63" s="5">
        <v>60</v>
      </c>
      <c r="B63" s="5" t="s">
        <v>61</v>
      </c>
      <c r="C63" s="5" t="s">
        <v>364</v>
      </c>
      <c r="D63" s="5" t="s">
        <v>30</v>
      </c>
      <c r="E63" s="12">
        <f>16800</f>
        <v>16800</v>
      </c>
      <c r="F63" s="13">
        <v>2</v>
      </c>
      <c r="G63" s="12">
        <f t="shared" si="0"/>
        <v>33600</v>
      </c>
      <c r="H63" s="14">
        <v>0.5</v>
      </c>
      <c r="I63" s="12">
        <f t="shared" si="1"/>
        <v>16800</v>
      </c>
      <c r="J63" s="18"/>
      <c r="K63" s="15"/>
      <c r="L63" s="15"/>
      <c r="M63" s="15"/>
      <c r="N63" s="15"/>
      <c r="O63" s="15"/>
      <c r="P63" s="15"/>
      <c r="Q63" s="15"/>
      <c r="R63" s="15"/>
      <c r="S63" s="15"/>
    </row>
    <row r="64" ht="15" customHeight="true" spans="1:19">
      <c r="A64" s="5">
        <v>61</v>
      </c>
      <c r="B64" s="5" t="s">
        <v>13</v>
      </c>
      <c r="C64" s="5" t="s">
        <v>265</v>
      </c>
      <c r="D64" s="5" t="s">
        <v>20</v>
      </c>
      <c r="E64" s="12">
        <f>12000+(12000*6%)</f>
        <v>12720</v>
      </c>
      <c r="F64" s="13">
        <v>1</v>
      </c>
      <c r="G64" s="12">
        <f t="shared" si="0"/>
        <v>12720</v>
      </c>
      <c r="H64" s="14">
        <v>0.5</v>
      </c>
      <c r="I64" s="12">
        <f t="shared" si="1"/>
        <v>6300</v>
      </c>
      <c r="J64" s="18"/>
      <c r="K64" s="15"/>
      <c r="L64" s="15"/>
      <c r="M64" s="15"/>
      <c r="N64" s="15"/>
      <c r="O64" s="15"/>
      <c r="P64" s="15"/>
      <c r="Q64" s="15"/>
      <c r="R64" s="15"/>
      <c r="S64" s="15"/>
    </row>
    <row r="65" ht="15" customHeight="true" spans="1:19">
      <c r="A65" s="5">
        <v>62</v>
      </c>
      <c r="B65" s="5" t="s">
        <v>21</v>
      </c>
      <c r="C65" s="5" t="s">
        <v>291</v>
      </c>
      <c r="D65" s="5" t="s">
        <v>20</v>
      </c>
      <c r="E65" s="12">
        <f>12000+(12000*6%)</f>
        <v>12720</v>
      </c>
      <c r="F65" s="13">
        <v>1</v>
      </c>
      <c r="G65" s="12">
        <f t="shared" si="0"/>
        <v>12720</v>
      </c>
      <c r="H65" s="14">
        <v>0.5</v>
      </c>
      <c r="I65" s="12">
        <f t="shared" si="1"/>
        <v>6300</v>
      </c>
      <c r="J65" s="18"/>
      <c r="K65" s="15"/>
      <c r="L65" s="15"/>
      <c r="M65" s="15"/>
      <c r="N65" s="15"/>
      <c r="O65" s="15"/>
      <c r="P65" s="15"/>
      <c r="Q65" s="15"/>
      <c r="R65" s="15"/>
      <c r="S65" s="15"/>
    </row>
    <row r="66" ht="15" customHeight="true" spans="1:19">
      <c r="A66" s="5">
        <v>63</v>
      </c>
      <c r="B66" s="5" t="s">
        <v>18</v>
      </c>
      <c r="C66" s="5" t="s">
        <v>19</v>
      </c>
      <c r="D66" s="5" t="s">
        <v>20</v>
      </c>
      <c r="E66" s="12">
        <f>12000+(12000*6%)</f>
        <v>12720</v>
      </c>
      <c r="F66" s="13">
        <v>2</v>
      </c>
      <c r="G66" s="12">
        <f t="shared" si="0"/>
        <v>25440</v>
      </c>
      <c r="H66" s="14">
        <v>0.5</v>
      </c>
      <c r="I66" s="12">
        <f t="shared" si="1"/>
        <v>12700</v>
      </c>
      <c r="J66" s="18"/>
      <c r="K66" s="15"/>
      <c r="L66" s="15"/>
      <c r="M66" s="15"/>
      <c r="N66" s="15"/>
      <c r="O66" s="15"/>
      <c r="P66" s="15"/>
      <c r="Q66" s="15"/>
      <c r="R66" s="15"/>
      <c r="S66" s="15"/>
    </row>
    <row r="67" ht="15" customHeight="true" spans="1:19">
      <c r="A67" s="5">
        <v>64</v>
      </c>
      <c r="B67" s="5" t="s">
        <v>112</v>
      </c>
      <c r="C67" s="5" t="s">
        <v>113</v>
      </c>
      <c r="D67" s="5" t="s">
        <v>20</v>
      </c>
      <c r="E67" s="12">
        <f>12000+(12000*6%)</f>
        <v>12720</v>
      </c>
      <c r="F67" s="13">
        <v>1</v>
      </c>
      <c r="G67" s="12">
        <f t="shared" si="0"/>
        <v>12720</v>
      </c>
      <c r="H67" s="14">
        <v>0.5</v>
      </c>
      <c r="I67" s="12">
        <f t="shared" si="1"/>
        <v>6300</v>
      </c>
      <c r="J67" s="18"/>
      <c r="K67" s="15"/>
      <c r="L67" s="15"/>
      <c r="M67" s="15"/>
      <c r="N67" s="15"/>
      <c r="O67" s="15"/>
      <c r="P67" s="15"/>
      <c r="Q67" s="15"/>
      <c r="R67" s="15"/>
      <c r="S67" s="15"/>
    </row>
    <row r="68" ht="15" customHeight="true" spans="1:19">
      <c r="A68" s="5">
        <v>65</v>
      </c>
      <c r="B68" s="5" t="s">
        <v>13</v>
      </c>
      <c r="C68" s="5" t="s">
        <v>55</v>
      </c>
      <c r="D68" s="5" t="s">
        <v>20</v>
      </c>
      <c r="E68" s="12">
        <v>15000</v>
      </c>
      <c r="F68" s="13">
        <v>1</v>
      </c>
      <c r="G68" s="12">
        <f t="shared" ref="G68:G131" si="2">E68*F68</f>
        <v>15000</v>
      </c>
      <c r="H68" s="14">
        <v>0.5</v>
      </c>
      <c r="I68" s="12">
        <f t="shared" ref="I68:I131" si="3">ROUNDDOWN(G68*H68,-2)</f>
        <v>7500</v>
      </c>
      <c r="J68" s="18"/>
      <c r="K68" s="15"/>
      <c r="L68" s="15"/>
      <c r="M68" s="15"/>
      <c r="N68" s="15"/>
      <c r="O68" s="15"/>
      <c r="P68" s="15"/>
      <c r="Q68" s="15"/>
      <c r="R68" s="15"/>
      <c r="S68" s="15"/>
    </row>
    <row r="69" ht="15" customHeight="true" spans="1:19">
      <c r="A69" s="5">
        <v>66</v>
      </c>
      <c r="B69" s="5" t="s">
        <v>28</v>
      </c>
      <c r="C69" s="5" t="s">
        <v>134</v>
      </c>
      <c r="D69" s="5" t="s">
        <v>338</v>
      </c>
      <c r="E69" s="12">
        <f>33900/12*9</f>
        <v>25425</v>
      </c>
      <c r="F69" s="13">
        <v>1</v>
      </c>
      <c r="G69" s="12">
        <f t="shared" si="2"/>
        <v>25425</v>
      </c>
      <c r="H69" s="14">
        <v>0.5</v>
      </c>
      <c r="I69" s="12">
        <f t="shared" si="3"/>
        <v>12700</v>
      </c>
      <c r="J69" s="18"/>
      <c r="K69" s="15"/>
      <c r="L69" s="15"/>
      <c r="M69" s="15"/>
      <c r="N69" s="15"/>
      <c r="O69" s="15"/>
      <c r="P69" s="15"/>
      <c r="Q69" s="15"/>
      <c r="R69" s="15"/>
      <c r="S69" s="15"/>
    </row>
    <row r="70" ht="15" customHeight="true" spans="1:19">
      <c r="A70" s="5">
        <v>67</v>
      </c>
      <c r="B70" s="5" t="s">
        <v>25</v>
      </c>
      <c r="C70" s="5" t="s">
        <v>367</v>
      </c>
      <c r="D70" s="5" t="s">
        <v>338</v>
      </c>
      <c r="E70" s="12">
        <f>25500/12*9</f>
        <v>19125</v>
      </c>
      <c r="F70" s="13">
        <v>1</v>
      </c>
      <c r="G70" s="12">
        <f t="shared" si="2"/>
        <v>19125</v>
      </c>
      <c r="H70" s="14">
        <v>0.5</v>
      </c>
      <c r="I70" s="12">
        <f t="shared" si="3"/>
        <v>9500</v>
      </c>
      <c r="J70" s="18"/>
      <c r="K70" s="15"/>
      <c r="L70" s="15"/>
      <c r="M70" s="15"/>
      <c r="N70" s="15"/>
      <c r="O70" s="15"/>
      <c r="P70" s="15"/>
      <c r="Q70" s="15"/>
      <c r="R70" s="15"/>
      <c r="S70" s="15"/>
    </row>
    <row r="71" ht="15" customHeight="true" spans="1:19">
      <c r="A71" s="5">
        <v>68</v>
      </c>
      <c r="B71" s="5" t="s">
        <v>18</v>
      </c>
      <c r="C71" s="5" t="s">
        <v>368</v>
      </c>
      <c r="D71" s="5" t="s">
        <v>338</v>
      </c>
      <c r="E71" s="12">
        <f>33900/12*9</f>
        <v>25425</v>
      </c>
      <c r="F71" s="13">
        <v>1</v>
      </c>
      <c r="G71" s="12">
        <f t="shared" si="2"/>
        <v>25425</v>
      </c>
      <c r="H71" s="14">
        <v>0.5</v>
      </c>
      <c r="I71" s="12">
        <f t="shared" si="3"/>
        <v>12700</v>
      </c>
      <c r="J71" s="18"/>
      <c r="K71" s="15"/>
      <c r="L71" s="15"/>
      <c r="M71" s="15"/>
      <c r="N71" s="15"/>
      <c r="O71" s="15"/>
      <c r="P71" s="15"/>
      <c r="Q71" s="15"/>
      <c r="R71" s="15"/>
      <c r="S71" s="15"/>
    </row>
    <row r="72" ht="15" customHeight="true" spans="1:19">
      <c r="A72" s="5">
        <v>69</v>
      </c>
      <c r="B72" s="5" t="s">
        <v>13</v>
      </c>
      <c r="C72" s="5" t="s">
        <v>124</v>
      </c>
      <c r="D72" s="5" t="s">
        <v>20</v>
      </c>
      <c r="E72" s="12">
        <f>12000+(12000*6%)</f>
        <v>12720</v>
      </c>
      <c r="F72" s="13">
        <v>2</v>
      </c>
      <c r="G72" s="12">
        <f t="shared" si="2"/>
        <v>25440</v>
      </c>
      <c r="H72" s="14">
        <v>0.5</v>
      </c>
      <c r="I72" s="12">
        <f t="shared" si="3"/>
        <v>12700</v>
      </c>
      <c r="J72" s="18"/>
      <c r="K72" s="15"/>
      <c r="L72" s="15"/>
      <c r="M72" s="15"/>
      <c r="N72" s="15"/>
      <c r="O72" s="15"/>
      <c r="P72" s="15"/>
      <c r="Q72" s="15"/>
      <c r="R72" s="15"/>
      <c r="S72" s="15"/>
    </row>
    <row r="73" ht="15" customHeight="true" spans="1:19">
      <c r="A73" s="5">
        <v>70</v>
      </c>
      <c r="B73" s="5" t="s">
        <v>23</v>
      </c>
      <c r="C73" s="5" t="s">
        <v>191</v>
      </c>
      <c r="D73" s="5" t="s">
        <v>131</v>
      </c>
      <c r="E73" s="12">
        <f>39600/18*9</f>
        <v>19800</v>
      </c>
      <c r="F73" s="13">
        <v>2</v>
      </c>
      <c r="G73" s="12">
        <f t="shared" si="2"/>
        <v>39600</v>
      </c>
      <c r="H73" s="14">
        <v>0.5</v>
      </c>
      <c r="I73" s="12">
        <f t="shared" si="3"/>
        <v>19800</v>
      </c>
      <c r="J73" s="18"/>
      <c r="K73" s="15"/>
      <c r="L73" s="15"/>
      <c r="M73" s="15"/>
      <c r="N73" s="15"/>
      <c r="O73" s="15"/>
      <c r="P73" s="15"/>
      <c r="Q73" s="15"/>
      <c r="R73" s="15"/>
      <c r="S73" s="15"/>
    </row>
    <row r="74" ht="15" customHeight="true" spans="1:19">
      <c r="A74" s="5">
        <v>71</v>
      </c>
      <c r="B74" s="5" t="s">
        <v>23</v>
      </c>
      <c r="C74" s="5" t="s">
        <v>230</v>
      </c>
      <c r="D74" s="5" t="s">
        <v>338</v>
      </c>
      <c r="E74" s="12">
        <f>39900/12*9</f>
        <v>29925</v>
      </c>
      <c r="F74" s="13">
        <v>1</v>
      </c>
      <c r="G74" s="12">
        <f t="shared" si="2"/>
        <v>29925</v>
      </c>
      <c r="H74" s="14">
        <v>0.5</v>
      </c>
      <c r="I74" s="12">
        <f t="shared" si="3"/>
        <v>14900</v>
      </c>
      <c r="J74" s="18"/>
      <c r="K74" s="15"/>
      <c r="L74" s="15"/>
      <c r="M74" s="15"/>
      <c r="N74" s="15"/>
      <c r="O74" s="15"/>
      <c r="P74" s="15"/>
      <c r="Q74" s="15"/>
      <c r="R74" s="15"/>
      <c r="S74" s="15"/>
    </row>
    <row r="75" ht="15" customHeight="true" spans="1:19">
      <c r="A75" s="5">
        <v>72</v>
      </c>
      <c r="B75" s="5" t="s">
        <v>13</v>
      </c>
      <c r="C75" s="5" t="s">
        <v>369</v>
      </c>
      <c r="D75" s="5" t="s">
        <v>338</v>
      </c>
      <c r="E75" s="12">
        <f>48000/36*9</f>
        <v>12000</v>
      </c>
      <c r="F75" s="13">
        <v>2</v>
      </c>
      <c r="G75" s="12">
        <f t="shared" si="2"/>
        <v>24000</v>
      </c>
      <c r="H75" s="14">
        <v>0.5</v>
      </c>
      <c r="I75" s="12">
        <f t="shared" si="3"/>
        <v>12000</v>
      </c>
      <c r="J75" s="18"/>
      <c r="K75" s="15"/>
      <c r="L75" s="15"/>
      <c r="M75" s="15"/>
      <c r="N75" s="15"/>
      <c r="O75" s="15"/>
      <c r="P75" s="15"/>
      <c r="Q75" s="15"/>
      <c r="R75" s="15"/>
      <c r="S75" s="15"/>
    </row>
    <row r="76" ht="15" customHeight="true" spans="1:19">
      <c r="A76" s="5">
        <v>73</v>
      </c>
      <c r="B76" s="5" t="s">
        <v>25</v>
      </c>
      <c r="C76" s="5" t="s">
        <v>370</v>
      </c>
      <c r="D76" s="5" t="s">
        <v>338</v>
      </c>
      <c r="E76" s="12">
        <f>33900/12*9</f>
        <v>25425</v>
      </c>
      <c r="F76" s="13">
        <v>1</v>
      </c>
      <c r="G76" s="12">
        <f t="shared" si="2"/>
        <v>25425</v>
      </c>
      <c r="H76" s="14">
        <v>0.5</v>
      </c>
      <c r="I76" s="12">
        <f t="shared" si="3"/>
        <v>12700</v>
      </c>
      <c r="J76" s="18"/>
      <c r="K76" s="15"/>
      <c r="L76" s="15"/>
      <c r="M76" s="15"/>
      <c r="N76" s="15"/>
      <c r="O76" s="15"/>
      <c r="P76" s="15"/>
      <c r="Q76" s="15"/>
      <c r="R76" s="15"/>
      <c r="S76" s="15"/>
    </row>
    <row r="77" ht="15" customHeight="true" spans="1:19">
      <c r="A77" s="5">
        <v>74</v>
      </c>
      <c r="B77" s="5" t="s">
        <v>25</v>
      </c>
      <c r="C77" s="5" t="s">
        <v>370</v>
      </c>
      <c r="D77" s="5" t="s">
        <v>131</v>
      </c>
      <c r="E77" s="12">
        <f>19800</f>
        <v>19800</v>
      </c>
      <c r="F77" s="13">
        <v>1</v>
      </c>
      <c r="G77" s="12">
        <f t="shared" si="2"/>
        <v>19800</v>
      </c>
      <c r="H77" s="14">
        <v>0.5</v>
      </c>
      <c r="I77" s="12">
        <f t="shared" si="3"/>
        <v>9900</v>
      </c>
      <c r="J77" s="18"/>
      <c r="K77" s="15"/>
      <c r="L77" s="15"/>
      <c r="M77" s="15"/>
      <c r="N77" s="15"/>
      <c r="O77" s="15"/>
      <c r="P77" s="15"/>
      <c r="Q77" s="15"/>
      <c r="R77" s="15"/>
      <c r="S77" s="15"/>
    </row>
    <row r="78" ht="15" customHeight="true" spans="1:19">
      <c r="A78" s="5">
        <v>75</v>
      </c>
      <c r="B78" s="5" t="s">
        <v>13</v>
      </c>
      <c r="C78" s="5" t="s">
        <v>178</v>
      </c>
      <c r="D78" s="5" t="s">
        <v>338</v>
      </c>
      <c r="E78" s="12">
        <f>33900/12*9</f>
        <v>25425</v>
      </c>
      <c r="F78" s="13">
        <v>1</v>
      </c>
      <c r="G78" s="12">
        <f t="shared" si="2"/>
        <v>25425</v>
      </c>
      <c r="H78" s="14">
        <v>0.5</v>
      </c>
      <c r="I78" s="12">
        <f t="shared" si="3"/>
        <v>12700</v>
      </c>
      <c r="J78" s="18"/>
      <c r="K78" s="15"/>
      <c r="L78" s="15"/>
      <c r="M78" s="15"/>
      <c r="N78" s="15"/>
      <c r="O78" s="15"/>
      <c r="P78" s="15"/>
      <c r="Q78" s="15"/>
      <c r="R78" s="15"/>
      <c r="S78" s="15"/>
    </row>
    <row r="79" ht="15" customHeight="true" spans="1:19">
      <c r="A79" s="5">
        <v>76</v>
      </c>
      <c r="B79" s="5" t="s">
        <v>13</v>
      </c>
      <c r="C79" s="5" t="s">
        <v>128</v>
      </c>
      <c r="D79" s="5" t="s">
        <v>20</v>
      </c>
      <c r="E79" s="12">
        <f>12000+(12000*6%)</f>
        <v>12720</v>
      </c>
      <c r="F79" s="13">
        <v>2</v>
      </c>
      <c r="G79" s="12">
        <f t="shared" si="2"/>
        <v>25440</v>
      </c>
      <c r="H79" s="14">
        <v>0.5</v>
      </c>
      <c r="I79" s="12">
        <f t="shared" si="3"/>
        <v>12700</v>
      </c>
      <c r="J79" s="18"/>
      <c r="K79" s="15"/>
      <c r="L79" s="15"/>
      <c r="M79" s="15"/>
      <c r="N79" s="15"/>
      <c r="O79" s="15"/>
      <c r="P79" s="15"/>
      <c r="Q79" s="15"/>
      <c r="R79" s="15"/>
      <c r="S79" s="15"/>
    </row>
    <row r="80" ht="15" customHeight="true" spans="1:19">
      <c r="A80" s="5">
        <v>77</v>
      </c>
      <c r="B80" s="5" t="s">
        <v>23</v>
      </c>
      <c r="C80" s="5" t="s">
        <v>132</v>
      </c>
      <c r="D80" s="5" t="s">
        <v>338</v>
      </c>
      <c r="E80" s="12">
        <f>66300/24*9</f>
        <v>24862.5</v>
      </c>
      <c r="F80" s="13">
        <v>2</v>
      </c>
      <c r="G80" s="12">
        <f t="shared" si="2"/>
        <v>49725</v>
      </c>
      <c r="H80" s="14">
        <v>0.5</v>
      </c>
      <c r="I80" s="12">
        <f t="shared" si="3"/>
        <v>24800</v>
      </c>
      <c r="J80" s="18"/>
      <c r="K80" s="15"/>
      <c r="L80" s="15"/>
      <c r="M80" s="15"/>
      <c r="N80" s="15"/>
      <c r="O80" s="15"/>
      <c r="P80" s="15"/>
      <c r="Q80" s="15"/>
      <c r="R80" s="15"/>
      <c r="S80" s="15"/>
    </row>
    <row r="81" ht="15" customHeight="true" spans="1:19">
      <c r="A81" s="5">
        <v>78</v>
      </c>
      <c r="B81" s="5" t="s">
        <v>28</v>
      </c>
      <c r="C81" s="5" t="s">
        <v>371</v>
      </c>
      <c r="D81" s="5" t="s">
        <v>15</v>
      </c>
      <c r="E81" s="12">
        <f>20000/2</f>
        <v>10000</v>
      </c>
      <c r="F81" s="13">
        <v>2</v>
      </c>
      <c r="G81" s="12">
        <f t="shared" si="2"/>
        <v>20000</v>
      </c>
      <c r="H81" s="14">
        <v>0.5</v>
      </c>
      <c r="I81" s="12">
        <f t="shared" si="3"/>
        <v>10000</v>
      </c>
      <c r="J81" s="18"/>
      <c r="K81" s="15"/>
      <c r="L81" s="15"/>
      <c r="M81" s="15"/>
      <c r="N81" s="15"/>
      <c r="O81" s="15"/>
      <c r="P81" s="15"/>
      <c r="Q81" s="15"/>
      <c r="R81" s="15"/>
      <c r="S81" s="15"/>
    </row>
    <row r="82" ht="15" customHeight="true" spans="1:19">
      <c r="A82" s="5">
        <v>79</v>
      </c>
      <c r="B82" s="5" t="s">
        <v>28</v>
      </c>
      <c r="C82" s="5" t="s">
        <v>372</v>
      </c>
      <c r="D82" s="5" t="s">
        <v>15</v>
      </c>
      <c r="E82" s="12">
        <f>56400/6</f>
        <v>9400</v>
      </c>
      <c r="F82" s="13">
        <v>2</v>
      </c>
      <c r="G82" s="12">
        <f t="shared" si="2"/>
        <v>18800</v>
      </c>
      <c r="H82" s="14">
        <v>0.5</v>
      </c>
      <c r="I82" s="12">
        <f t="shared" si="3"/>
        <v>9400</v>
      </c>
      <c r="J82" s="18"/>
      <c r="K82" s="15"/>
      <c r="L82" s="15"/>
      <c r="M82" s="15"/>
      <c r="N82" s="15"/>
      <c r="O82" s="15"/>
      <c r="P82" s="15"/>
      <c r="Q82" s="15"/>
      <c r="R82" s="15"/>
      <c r="S82" s="15"/>
    </row>
    <row r="83" ht="15" customHeight="true" spans="1:19">
      <c r="A83" s="5">
        <v>80</v>
      </c>
      <c r="B83" s="5" t="s">
        <v>18</v>
      </c>
      <c r="C83" s="5" t="s">
        <v>133</v>
      </c>
      <c r="D83" s="5" t="s">
        <v>20</v>
      </c>
      <c r="E83" s="12">
        <f>12000+(12000*6%)</f>
        <v>12720</v>
      </c>
      <c r="F83" s="13">
        <v>1</v>
      </c>
      <c r="G83" s="12">
        <f t="shared" si="2"/>
        <v>12720</v>
      </c>
      <c r="H83" s="14">
        <v>0.5</v>
      </c>
      <c r="I83" s="12">
        <f t="shared" si="3"/>
        <v>6300</v>
      </c>
      <c r="J83" s="19" t="s">
        <v>373</v>
      </c>
      <c r="K83" s="15"/>
      <c r="L83" s="15"/>
      <c r="M83" s="15"/>
      <c r="N83" s="15"/>
      <c r="O83" s="15"/>
      <c r="P83" s="15"/>
      <c r="Q83" s="15"/>
      <c r="R83" s="15"/>
      <c r="S83" s="15"/>
    </row>
    <row r="84" ht="15" customHeight="true" spans="1:19">
      <c r="A84" s="5">
        <v>81</v>
      </c>
      <c r="B84" s="5" t="s">
        <v>28</v>
      </c>
      <c r="C84" s="5" t="s">
        <v>325</v>
      </c>
      <c r="D84" s="5" t="s">
        <v>301</v>
      </c>
      <c r="E84" s="12">
        <f>81600/108*9</f>
        <v>6800</v>
      </c>
      <c r="F84" s="13">
        <v>2</v>
      </c>
      <c r="G84" s="12">
        <f t="shared" si="2"/>
        <v>13600</v>
      </c>
      <c r="H84" s="14">
        <v>0.5</v>
      </c>
      <c r="I84" s="12">
        <f t="shared" si="3"/>
        <v>6800</v>
      </c>
      <c r="J84" s="5"/>
      <c r="K84" s="15"/>
      <c r="L84" s="15"/>
      <c r="M84" s="15"/>
      <c r="N84" s="15"/>
      <c r="O84" s="15"/>
      <c r="P84" s="15"/>
      <c r="Q84" s="15"/>
      <c r="R84" s="15"/>
      <c r="S84" s="15"/>
    </row>
    <row r="85" ht="15" customHeight="true" spans="1:19">
      <c r="A85" s="5">
        <v>82</v>
      </c>
      <c r="B85" s="5" t="s">
        <v>13</v>
      </c>
      <c r="C85" s="5" t="s">
        <v>374</v>
      </c>
      <c r="D85" s="5" t="s">
        <v>347</v>
      </c>
      <c r="E85" s="12">
        <f>100000/50*9</f>
        <v>18000</v>
      </c>
      <c r="F85" s="13">
        <v>2</v>
      </c>
      <c r="G85" s="12">
        <f t="shared" si="2"/>
        <v>36000</v>
      </c>
      <c r="H85" s="14">
        <v>0.5</v>
      </c>
      <c r="I85" s="12">
        <f t="shared" si="3"/>
        <v>18000</v>
      </c>
      <c r="J85" s="5"/>
      <c r="K85" s="15"/>
      <c r="L85" s="15"/>
      <c r="M85" s="15"/>
      <c r="N85" s="15"/>
      <c r="O85" s="15"/>
      <c r="P85" s="15"/>
      <c r="Q85" s="15"/>
      <c r="R85" s="15"/>
      <c r="S85" s="15"/>
    </row>
    <row r="86" ht="15" customHeight="true" spans="1:19">
      <c r="A86" s="5">
        <v>83</v>
      </c>
      <c r="B86" s="5" t="s">
        <v>13</v>
      </c>
      <c r="C86" s="5" t="s">
        <v>14</v>
      </c>
      <c r="D86" s="5" t="s">
        <v>15</v>
      </c>
      <c r="E86" s="12">
        <f>338688/216*9</f>
        <v>14112</v>
      </c>
      <c r="F86" s="13">
        <v>2</v>
      </c>
      <c r="G86" s="12">
        <f t="shared" si="2"/>
        <v>28224</v>
      </c>
      <c r="H86" s="14">
        <v>0.5</v>
      </c>
      <c r="I86" s="12">
        <f t="shared" si="3"/>
        <v>14100</v>
      </c>
      <c r="J86" s="5"/>
      <c r="K86" s="15"/>
      <c r="L86" s="15"/>
      <c r="M86" s="15"/>
      <c r="N86" s="15"/>
      <c r="O86" s="15"/>
      <c r="P86" s="15"/>
      <c r="Q86" s="15"/>
      <c r="R86" s="15"/>
      <c r="S86" s="15"/>
    </row>
    <row r="87" ht="15" customHeight="true" spans="1:19">
      <c r="A87" s="5">
        <v>84</v>
      </c>
      <c r="B87" s="5" t="s">
        <v>18</v>
      </c>
      <c r="C87" s="5" t="s">
        <v>287</v>
      </c>
      <c r="D87" s="5" t="s">
        <v>20</v>
      </c>
      <c r="E87" s="12">
        <f>12000+(12000*6%)</f>
        <v>12720</v>
      </c>
      <c r="F87" s="13">
        <v>2</v>
      </c>
      <c r="G87" s="12">
        <f t="shared" si="2"/>
        <v>25440</v>
      </c>
      <c r="H87" s="14">
        <v>0.5</v>
      </c>
      <c r="I87" s="12">
        <f t="shared" si="3"/>
        <v>12700</v>
      </c>
      <c r="J87" s="19" t="s">
        <v>375</v>
      </c>
      <c r="K87" s="15"/>
      <c r="L87" s="15"/>
      <c r="M87" s="15"/>
      <c r="N87" s="15"/>
      <c r="O87" s="15"/>
      <c r="P87" s="15"/>
      <c r="Q87" s="15"/>
      <c r="R87" s="15"/>
      <c r="S87" s="15"/>
    </row>
    <row r="88" ht="15" customHeight="true" spans="1:19">
      <c r="A88" s="5">
        <v>85</v>
      </c>
      <c r="B88" s="5" t="s">
        <v>28</v>
      </c>
      <c r="C88" s="5" t="s">
        <v>376</v>
      </c>
      <c r="D88" s="5" t="s">
        <v>301</v>
      </c>
      <c r="E88" s="12">
        <f>20900/27*9</f>
        <v>6966.66666666667</v>
      </c>
      <c r="F88" s="13">
        <v>2</v>
      </c>
      <c r="G88" s="12">
        <f t="shared" si="2"/>
        <v>13933.3333333333</v>
      </c>
      <c r="H88" s="14">
        <v>0.5</v>
      </c>
      <c r="I88" s="12">
        <f t="shared" si="3"/>
        <v>6900</v>
      </c>
      <c r="J88" s="18"/>
      <c r="K88" s="15"/>
      <c r="L88" s="15"/>
      <c r="M88" s="15"/>
      <c r="N88" s="15"/>
      <c r="O88" s="15"/>
      <c r="P88" s="15"/>
      <c r="Q88" s="15"/>
      <c r="R88" s="15"/>
      <c r="S88" s="15"/>
    </row>
    <row r="89" ht="15" customHeight="true" spans="1:19">
      <c r="A89" s="5">
        <v>86</v>
      </c>
      <c r="B89" s="5" t="s">
        <v>28</v>
      </c>
      <c r="C89" s="5" t="s">
        <v>300</v>
      </c>
      <c r="D89" s="5" t="s">
        <v>301</v>
      </c>
      <c r="E89" s="12">
        <f>82600/36*9</f>
        <v>20650</v>
      </c>
      <c r="F89" s="13">
        <v>2</v>
      </c>
      <c r="G89" s="12">
        <f t="shared" si="2"/>
        <v>41300</v>
      </c>
      <c r="H89" s="14">
        <v>0.5</v>
      </c>
      <c r="I89" s="12">
        <f t="shared" si="3"/>
        <v>20600</v>
      </c>
      <c r="J89" s="18"/>
      <c r="K89" s="15"/>
      <c r="L89" s="15"/>
      <c r="M89" s="15"/>
      <c r="N89" s="15"/>
      <c r="O89" s="15"/>
      <c r="P89" s="15"/>
      <c r="Q89" s="15"/>
      <c r="R89" s="15"/>
      <c r="S89" s="15"/>
    </row>
    <row r="90" ht="15" customHeight="true" spans="1:19">
      <c r="A90" s="5">
        <v>87</v>
      </c>
      <c r="B90" s="5" t="s">
        <v>25</v>
      </c>
      <c r="C90" s="5" t="s">
        <v>377</v>
      </c>
      <c r="D90" s="5" t="s">
        <v>30</v>
      </c>
      <c r="E90" s="12">
        <f>16800</f>
        <v>16800</v>
      </c>
      <c r="F90" s="13">
        <v>1</v>
      </c>
      <c r="G90" s="12">
        <f t="shared" si="2"/>
        <v>16800</v>
      </c>
      <c r="H90" s="14">
        <v>0.5</v>
      </c>
      <c r="I90" s="12">
        <f t="shared" si="3"/>
        <v>8400</v>
      </c>
      <c r="J90" s="18"/>
      <c r="K90" s="15"/>
      <c r="L90" s="15"/>
      <c r="M90" s="15"/>
      <c r="N90" s="15"/>
      <c r="O90" s="15"/>
      <c r="P90" s="15"/>
      <c r="Q90" s="15"/>
      <c r="R90" s="15"/>
      <c r="S90" s="15"/>
    </row>
    <row r="91" ht="15" customHeight="true" spans="1:19">
      <c r="A91" s="5">
        <v>88</v>
      </c>
      <c r="B91" s="5" t="s">
        <v>25</v>
      </c>
      <c r="C91" s="5" t="s">
        <v>367</v>
      </c>
      <c r="D91" s="5" t="s">
        <v>15</v>
      </c>
      <c r="E91" s="12">
        <f>10682</f>
        <v>10682</v>
      </c>
      <c r="F91" s="13">
        <v>1</v>
      </c>
      <c r="G91" s="12">
        <f t="shared" si="2"/>
        <v>10682</v>
      </c>
      <c r="H91" s="14">
        <v>0.5</v>
      </c>
      <c r="I91" s="12">
        <f t="shared" si="3"/>
        <v>5300</v>
      </c>
      <c r="J91" s="18"/>
      <c r="K91" s="15"/>
      <c r="L91" s="15"/>
      <c r="M91" s="15"/>
      <c r="N91" s="15"/>
      <c r="O91" s="15"/>
      <c r="P91" s="15"/>
      <c r="Q91" s="15"/>
      <c r="R91" s="15"/>
      <c r="S91" s="15"/>
    </row>
    <row r="92" ht="15" customHeight="true" spans="1:19">
      <c r="A92" s="5">
        <v>89</v>
      </c>
      <c r="B92" s="5" t="s">
        <v>25</v>
      </c>
      <c r="C92" s="5" t="s">
        <v>378</v>
      </c>
      <c r="D92" s="5" t="s">
        <v>301</v>
      </c>
      <c r="E92" s="12">
        <f>6300</f>
        <v>6300</v>
      </c>
      <c r="F92" s="13">
        <v>1</v>
      </c>
      <c r="G92" s="12">
        <f t="shared" si="2"/>
        <v>6300</v>
      </c>
      <c r="H92" s="14">
        <v>0.5</v>
      </c>
      <c r="I92" s="12">
        <f t="shared" si="3"/>
        <v>3100</v>
      </c>
      <c r="J92" s="18"/>
      <c r="K92" s="15"/>
      <c r="L92" s="15"/>
      <c r="M92" s="15"/>
      <c r="N92" s="15"/>
      <c r="O92" s="15"/>
      <c r="P92" s="15"/>
      <c r="Q92" s="15"/>
      <c r="R92" s="15"/>
      <c r="S92" s="15"/>
    </row>
    <row r="93" ht="15" customHeight="true" spans="1:19">
      <c r="A93" s="5">
        <v>90</v>
      </c>
      <c r="B93" s="5" t="s">
        <v>28</v>
      </c>
      <c r="C93" s="5" t="s">
        <v>143</v>
      </c>
      <c r="D93" s="5" t="s">
        <v>15</v>
      </c>
      <c r="E93" s="12">
        <f>75200/8*9</f>
        <v>84600</v>
      </c>
      <c r="F93" s="13">
        <v>2</v>
      </c>
      <c r="G93" s="12">
        <f t="shared" si="2"/>
        <v>169200</v>
      </c>
      <c r="H93" s="14">
        <v>0.5</v>
      </c>
      <c r="I93" s="12">
        <f t="shared" si="3"/>
        <v>84600</v>
      </c>
      <c r="J93" s="18"/>
      <c r="K93" s="15"/>
      <c r="L93" s="15"/>
      <c r="M93" s="15"/>
      <c r="N93" s="15"/>
      <c r="O93" s="15"/>
      <c r="P93" s="15"/>
      <c r="Q93" s="15"/>
      <c r="R93" s="15"/>
      <c r="S93" s="15"/>
    </row>
    <row r="94" ht="15" customHeight="true" spans="1:19">
      <c r="A94" s="5">
        <v>91</v>
      </c>
      <c r="B94" s="5" t="s">
        <v>23</v>
      </c>
      <c r="C94" s="5" t="s">
        <v>379</v>
      </c>
      <c r="D94" s="5" t="s">
        <v>20</v>
      </c>
      <c r="E94" s="12">
        <f>12000+(12000*6%)</f>
        <v>12720</v>
      </c>
      <c r="F94" s="13">
        <v>2</v>
      </c>
      <c r="G94" s="12">
        <f t="shared" si="2"/>
        <v>25440</v>
      </c>
      <c r="H94" s="14">
        <v>0.5</v>
      </c>
      <c r="I94" s="12">
        <f t="shared" si="3"/>
        <v>12700</v>
      </c>
      <c r="J94" s="18"/>
      <c r="K94" s="15"/>
      <c r="L94" s="15"/>
      <c r="M94" s="15"/>
      <c r="N94" s="15"/>
      <c r="O94" s="15"/>
      <c r="P94" s="15"/>
      <c r="Q94" s="15"/>
      <c r="R94" s="15"/>
      <c r="S94" s="15"/>
    </row>
    <row r="95" ht="15" customHeight="true" spans="1:19">
      <c r="A95" s="5">
        <v>92</v>
      </c>
      <c r="B95" s="5" t="s">
        <v>28</v>
      </c>
      <c r="C95" s="5" t="s">
        <v>380</v>
      </c>
      <c r="D95" s="5" t="s">
        <v>15</v>
      </c>
      <c r="E95" s="12">
        <f>68400/36*9</f>
        <v>17100</v>
      </c>
      <c r="F95" s="13">
        <v>2</v>
      </c>
      <c r="G95" s="12">
        <f t="shared" si="2"/>
        <v>34200</v>
      </c>
      <c r="H95" s="14">
        <v>0.5</v>
      </c>
      <c r="I95" s="12">
        <f t="shared" si="3"/>
        <v>17100</v>
      </c>
      <c r="J95" s="18"/>
      <c r="K95" s="15"/>
      <c r="L95" s="15"/>
      <c r="M95" s="15"/>
      <c r="N95" s="15"/>
      <c r="O95" s="15"/>
      <c r="P95" s="15"/>
      <c r="Q95" s="15"/>
      <c r="R95" s="15"/>
      <c r="S95" s="15"/>
    </row>
    <row r="96" ht="15" customHeight="true" spans="1:19">
      <c r="A96" s="5">
        <v>93</v>
      </c>
      <c r="B96" s="5" t="s">
        <v>13</v>
      </c>
      <c r="C96" s="5" t="s">
        <v>381</v>
      </c>
      <c r="D96" s="5" t="s">
        <v>382</v>
      </c>
      <c r="E96" s="12">
        <f t="shared" ref="E96:E101" si="4">10000</f>
        <v>10000</v>
      </c>
      <c r="F96" s="13">
        <v>1</v>
      </c>
      <c r="G96" s="12">
        <f t="shared" si="2"/>
        <v>10000</v>
      </c>
      <c r="H96" s="14">
        <v>0.5</v>
      </c>
      <c r="I96" s="12">
        <f t="shared" si="3"/>
        <v>5000</v>
      </c>
      <c r="J96" s="18"/>
      <c r="K96" s="15"/>
      <c r="L96" s="15"/>
      <c r="M96" s="15"/>
      <c r="N96" s="15"/>
      <c r="O96" s="15"/>
      <c r="P96" s="15"/>
      <c r="Q96" s="15"/>
      <c r="R96" s="15"/>
      <c r="S96" s="15"/>
    </row>
    <row r="97" ht="15" customHeight="true" spans="1:19">
      <c r="A97" s="5">
        <v>94</v>
      </c>
      <c r="B97" s="5" t="s">
        <v>18</v>
      </c>
      <c r="C97" s="5" t="s">
        <v>383</v>
      </c>
      <c r="D97" s="5" t="s">
        <v>382</v>
      </c>
      <c r="E97" s="12">
        <f t="shared" si="4"/>
        <v>10000</v>
      </c>
      <c r="F97" s="13">
        <v>1</v>
      </c>
      <c r="G97" s="12">
        <f t="shared" si="2"/>
        <v>10000</v>
      </c>
      <c r="H97" s="14">
        <v>0.5</v>
      </c>
      <c r="I97" s="12">
        <f t="shared" si="3"/>
        <v>5000</v>
      </c>
      <c r="J97" s="18"/>
      <c r="K97" s="15"/>
      <c r="L97" s="15"/>
      <c r="M97" s="15"/>
      <c r="N97" s="15"/>
      <c r="O97" s="15"/>
      <c r="P97" s="15"/>
      <c r="Q97" s="15"/>
      <c r="R97" s="15"/>
      <c r="S97" s="15"/>
    </row>
    <row r="98" ht="15" customHeight="true" spans="1:19">
      <c r="A98" s="5">
        <v>95</v>
      </c>
      <c r="B98" s="5" t="s">
        <v>61</v>
      </c>
      <c r="C98" s="5" t="s">
        <v>384</v>
      </c>
      <c r="D98" s="5" t="s">
        <v>382</v>
      </c>
      <c r="E98" s="12">
        <f t="shared" si="4"/>
        <v>10000</v>
      </c>
      <c r="F98" s="13">
        <v>1</v>
      </c>
      <c r="G98" s="12">
        <f t="shared" si="2"/>
        <v>10000</v>
      </c>
      <c r="H98" s="14">
        <v>0.5</v>
      </c>
      <c r="I98" s="12">
        <f t="shared" si="3"/>
        <v>5000</v>
      </c>
      <c r="J98" s="18"/>
      <c r="K98" s="15"/>
      <c r="L98" s="15"/>
      <c r="M98" s="15"/>
      <c r="N98" s="15"/>
      <c r="O98" s="15"/>
      <c r="P98" s="15"/>
      <c r="Q98" s="15"/>
      <c r="R98" s="15"/>
      <c r="S98" s="15"/>
    </row>
    <row r="99" ht="15" customHeight="true" spans="1:19">
      <c r="A99" s="5">
        <v>96</v>
      </c>
      <c r="B99" s="5" t="s">
        <v>61</v>
      </c>
      <c r="C99" s="5" t="s">
        <v>385</v>
      </c>
      <c r="D99" s="5" t="s">
        <v>382</v>
      </c>
      <c r="E99" s="12">
        <f t="shared" si="4"/>
        <v>10000</v>
      </c>
      <c r="F99" s="13">
        <v>2</v>
      </c>
      <c r="G99" s="12">
        <f t="shared" si="2"/>
        <v>20000</v>
      </c>
      <c r="H99" s="14">
        <v>0.5</v>
      </c>
      <c r="I99" s="12">
        <f t="shared" si="3"/>
        <v>10000</v>
      </c>
      <c r="J99" s="18"/>
      <c r="K99" s="15"/>
      <c r="L99" s="15"/>
      <c r="M99" s="15"/>
      <c r="N99" s="15"/>
      <c r="O99" s="15"/>
      <c r="P99" s="15"/>
      <c r="Q99" s="15"/>
      <c r="R99" s="15"/>
      <c r="S99" s="15"/>
    </row>
    <row r="100" ht="15" customHeight="true" spans="1:19">
      <c r="A100" s="5">
        <v>97</v>
      </c>
      <c r="B100" s="5" t="s">
        <v>23</v>
      </c>
      <c r="C100" s="5" t="s">
        <v>386</v>
      </c>
      <c r="D100" s="5" t="s">
        <v>382</v>
      </c>
      <c r="E100" s="12">
        <f t="shared" si="4"/>
        <v>10000</v>
      </c>
      <c r="F100" s="13">
        <v>2</v>
      </c>
      <c r="G100" s="12">
        <f t="shared" si="2"/>
        <v>20000</v>
      </c>
      <c r="H100" s="14">
        <v>0.5</v>
      </c>
      <c r="I100" s="12">
        <f t="shared" si="3"/>
        <v>10000</v>
      </c>
      <c r="J100" s="18"/>
      <c r="K100" s="15"/>
      <c r="L100" s="15"/>
      <c r="M100" s="15"/>
      <c r="N100" s="15"/>
      <c r="O100" s="15"/>
      <c r="P100" s="15"/>
      <c r="Q100" s="15"/>
      <c r="R100" s="15"/>
      <c r="S100" s="15"/>
    </row>
    <row r="101" ht="15" customHeight="true" spans="1:19">
      <c r="A101" s="5">
        <v>98</v>
      </c>
      <c r="B101" s="5" t="s">
        <v>61</v>
      </c>
      <c r="C101" s="5" t="s">
        <v>387</v>
      </c>
      <c r="D101" s="5" t="s">
        <v>382</v>
      </c>
      <c r="E101" s="12">
        <f t="shared" si="4"/>
        <v>10000</v>
      </c>
      <c r="F101" s="13">
        <v>2</v>
      </c>
      <c r="G101" s="12">
        <f t="shared" si="2"/>
        <v>20000</v>
      </c>
      <c r="H101" s="14">
        <v>0.5</v>
      </c>
      <c r="I101" s="12">
        <f t="shared" si="3"/>
        <v>10000</v>
      </c>
      <c r="J101" s="18"/>
      <c r="K101" s="15"/>
      <c r="L101" s="15"/>
      <c r="M101" s="15"/>
      <c r="N101" s="15"/>
      <c r="O101" s="15"/>
      <c r="P101" s="15"/>
      <c r="Q101" s="15"/>
      <c r="R101" s="15"/>
      <c r="S101" s="15"/>
    </row>
    <row r="102" ht="15" customHeight="true" spans="1:19">
      <c r="A102" s="5">
        <v>99</v>
      </c>
      <c r="B102" s="5" t="s">
        <v>13</v>
      </c>
      <c r="C102" s="5" t="s">
        <v>173</v>
      </c>
      <c r="D102" s="5" t="s">
        <v>20</v>
      </c>
      <c r="E102" s="12">
        <f>167904/72*9</f>
        <v>20988</v>
      </c>
      <c r="F102" s="13">
        <v>2</v>
      </c>
      <c r="G102" s="12">
        <f t="shared" si="2"/>
        <v>41976</v>
      </c>
      <c r="H102" s="14">
        <v>0.5</v>
      </c>
      <c r="I102" s="12">
        <f t="shared" si="3"/>
        <v>20900</v>
      </c>
      <c r="J102" s="18"/>
      <c r="K102" s="15"/>
      <c r="L102" s="15"/>
      <c r="M102" s="15"/>
      <c r="N102" s="15"/>
      <c r="O102" s="15"/>
      <c r="P102" s="15"/>
      <c r="Q102" s="15"/>
      <c r="R102" s="15"/>
      <c r="S102" s="15"/>
    </row>
    <row r="103" ht="15" customHeight="true" spans="1:19">
      <c r="A103" s="5">
        <v>100</v>
      </c>
      <c r="B103" s="5" t="s">
        <v>16</v>
      </c>
      <c r="C103" s="5" t="s">
        <v>388</v>
      </c>
      <c r="D103" s="5" t="s">
        <v>15</v>
      </c>
      <c r="E103" s="12">
        <f>205200/108*9</f>
        <v>17100</v>
      </c>
      <c r="F103" s="13">
        <v>2</v>
      </c>
      <c r="G103" s="12">
        <f t="shared" si="2"/>
        <v>34200</v>
      </c>
      <c r="H103" s="14">
        <v>0.5</v>
      </c>
      <c r="I103" s="12">
        <f t="shared" si="3"/>
        <v>17100</v>
      </c>
      <c r="J103" s="18"/>
      <c r="K103" s="15"/>
      <c r="L103" s="15"/>
      <c r="M103" s="15"/>
      <c r="N103" s="15"/>
      <c r="O103" s="15"/>
      <c r="P103" s="15"/>
      <c r="Q103" s="15"/>
      <c r="R103" s="15"/>
      <c r="S103" s="15"/>
    </row>
    <row r="104" ht="15" customHeight="true" spans="1:19">
      <c r="A104" s="5">
        <v>101</v>
      </c>
      <c r="B104" s="5" t="s">
        <v>28</v>
      </c>
      <c r="C104" s="5" t="s">
        <v>118</v>
      </c>
      <c r="D104" s="5" t="s">
        <v>15</v>
      </c>
      <c r="E104" s="12">
        <f>94000/10</f>
        <v>9400</v>
      </c>
      <c r="F104" s="13">
        <v>2</v>
      </c>
      <c r="G104" s="12">
        <f t="shared" si="2"/>
        <v>18800</v>
      </c>
      <c r="H104" s="14">
        <v>0.5</v>
      </c>
      <c r="I104" s="12">
        <f t="shared" si="3"/>
        <v>9400</v>
      </c>
      <c r="J104" s="18"/>
      <c r="K104" s="15"/>
      <c r="L104" s="15"/>
      <c r="M104" s="15"/>
      <c r="N104" s="15"/>
      <c r="O104" s="15"/>
      <c r="P104" s="15"/>
      <c r="Q104" s="15"/>
      <c r="R104" s="15"/>
      <c r="S104" s="15"/>
    </row>
    <row r="105" ht="15" customHeight="true" spans="1:19">
      <c r="A105" s="5">
        <v>102</v>
      </c>
      <c r="B105" s="5" t="s">
        <v>67</v>
      </c>
      <c r="C105" s="5" t="s">
        <v>389</v>
      </c>
      <c r="D105" s="5" t="s">
        <v>44</v>
      </c>
      <c r="E105" s="12">
        <f>351900/225*9</f>
        <v>14076</v>
      </c>
      <c r="F105" s="13">
        <v>2</v>
      </c>
      <c r="G105" s="12">
        <f t="shared" si="2"/>
        <v>28152</v>
      </c>
      <c r="H105" s="14">
        <v>0.5</v>
      </c>
      <c r="I105" s="12">
        <f t="shared" si="3"/>
        <v>14000</v>
      </c>
      <c r="J105" s="18"/>
      <c r="K105" s="15"/>
      <c r="L105" s="15"/>
      <c r="M105" s="15"/>
      <c r="N105" s="15"/>
      <c r="O105" s="15"/>
      <c r="P105" s="15"/>
      <c r="Q105" s="15"/>
      <c r="R105" s="15"/>
      <c r="S105" s="15"/>
    </row>
    <row r="106" ht="15" customHeight="true" spans="1:19">
      <c r="A106" s="5">
        <v>103</v>
      </c>
      <c r="B106" s="5" t="s">
        <v>61</v>
      </c>
      <c r="C106" s="5" t="s">
        <v>79</v>
      </c>
      <c r="D106" s="5" t="s">
        <v>58</v>
      </c>
      <c r="E106" s="12">
        <f>21510</f>
        <v>21510</v>
      </c>
      <c r="F106" s="13">
        <v>1</v>
      </c>
      <c r="G106" s="12">
        <f t="shared" si="2"/>
        <v>21510</v>
      </c>
      <c r="H106" s="14">
        <v>0.5</v>
      </c>
      <c r="I106" s="12">
        <f t="shared" si="3"/>
        <v>10700</v>
      </c>
      <c r="J106" s="18"/>
      <c r="K106" s="15"/>
      <c r="L106" s="15"/>
      <c r="M106" s="15"/>
      <c r="N106" s="15"/>
      <c r="O106" s="15"/>
      <c r="P106" s="15"/>
      <c r="Q106" s="15"/>
      <c r="R106" s="15"/>
      <c r="S106" s="15"/>
    </row>
    <row r="107" ht="15" customHeight="true" spans="1:19">
      <c r="A107" s="5">
        <v>104</v>
      </c>
      <c r="B107" s="5" t="s">
        <v>59</v>
      </c>
      <c r="C107" s="5" t="s">
        <v>92</v>
      </c>
      <c r="D107" s="5" t="s">
        <v>30</v>
      </c>
      <c r="E107" s="12">
        <f>16800</f>
        <v>16800</v>
      </c>
      <c r="F107" s="13">
        <v>2</v>
      </c>
      <c r="G107" s="12">
        <f t="shared" si="2"/>
        <v>33600</v>
      </c>
      <c r="H107" s="14">
        <v>0.5</v>
      </c>
      <c r="I107" s="12">
        <f t="shared" si="3"/>
        <v>16800</v>
      </c>
      <c r="J107" s="18"/>
      <c r="K107" s="15"/>
      <c r="L107" s="15"/>
      <c r="M107" s="15"/>
      <c r="N107" s="15"/>
      <c r="O107" s="15"/>
      <c r="P107" s="15"/>
      <c r="Q107" s="15"/>
      <c r="R107" s="15"/>
      <c r="S107" s="15"/>
    </row>
    <row r="108" ht="15" customHeight="true" spans="1:19">
      <c r="A108" s="5">
        <v>105</v>
      </c>
      <c r="B108" s="5" t="s">
        <v>59</v>
      </c>
      <c r="C108" s="5" t="s">
        <v>93</v>
      </c>
      <c r="D108" s="5" t="s">
        <v>30</v>
      </c>
      <c r="E108" s="12">
        <f>16800</f>
        <v>16800</v>
      </c>
      <c r="F108" s="13">
        <v>2</v>
      </c>
      <c r="G108" s="12">
        <f t="shared" si="2"/>
        <v>33600</v>
      </c>
      <c r="H108" s="14">
        <v>0.5</v>
      </c>
      <c r="I108" s="12">
        <f t="shared" si="3"/>
        <v>16800</v>
      </c>
      <c r="J108" s="18"/>
      <c r="K108" s="15"/>
      <c r="L108" s="15"/>
      <c r="M108" s="15"/>
      <c r="N108" s="15"/>
      <c r="O108" s="15"/>
      <c r="P108" s="15"/>
      <c r="Q108" s="15"/>
      <c r="R108" s="15"/>
      <c r="S108" s="15"/>
    </row>
    <row r="109" ht="15" customHeight="true" spans="1:19">
      <c r="A109" s="5">
        <v>106</v>
      </c>
      <c r="B109" s="5" t="s">
        <v>18</v>
      </c>
      <c r="C109" s="5" t="s">
        <v>232</v>
      </c>
      <c r="D109" s="5" t="s">
        <v>20</v>
      </c>
      <c r="E109" s="12">
        <f>12000+(12000*6%)</f>
        <v>12720</v>
      </c>
      <c r="F109" s="13">
        <v>1</v>
      </c>
      <c r="G109" s="12">
        <f t="shared" si="2"/>
        <v>12720</v>
      </c>
      <c r="H109" s="14">
        <v>0.5</v>
      </c>
      <c r="I109" s="12">
        <f t="shared" si="3"/>
        <v>6300</v>
      </c>
      <c r="J109" s="18"/>
      <c r="K109" s="15"/>
      <c r="L109" s="15"/>
      <c r="M109" s="15"/>
      <c r="N109" s="15"/>
      <c r="O109" s="15"/>
      <c r="P109" s="15"/>
      <c r="Q109" s="15"/>
      <c r="R109" s="15"/>
      <c r="S109" s="15"/>
    </row>
    <row r="110" ht="15" customHeight="true" spans="1:19">
      <c r="A110" s="5">
        <v>107</v>
      </c>
      <c r="B110" s="5" t="s">
        <v>28</v>
      </c>
      <c r="C110" s="5" t="s">
        <v>390</v>
      </c>
      <c r="D110" s="5" t="s">
        <v>30</v>
      </c>
      <c r="E110" s="12">
        <f>16800</f>
        <v>16800</v>
      </c>
      <c r="F110" s="13">
        <v>1</v>
      </c>
      <c r="G110" s="12">
        <f t="shared" si="2"/>
        <v>16800</v>
      </c>
      <c r="H110" s="14">
        <v>0.5</v>
      </c>
      <c r="I110" s="12">
        <f t="shared" si="3"/>
        <v>8400</v>
      </c>
      <c r="J110" s="18"/>
      <c r="K110" s="15"/>
      <c r="L110" s="15"/>
      <c r="M110" s="15"/>
      <c r="N110" s="15"/>
      <c r="O110" s="15"/>
      <c r="P110" s="15"/>
      <c r="Q110" s="15"/>
      <c r="R110" s="15"/>
      <c r="S110" s="15"/>
    </row>
    <row r="111" ht="15" customHeight="true" spans="1:19">
      <c r="A111" s="5">
        <v>108</v>
      </c>
      <c r="B111" s="5" t="s">
        <v>28</v>
      </c>
      <c r="C111" s="5" t="s">
        <v>390</v>
      </c>
      <c r="D111" s="5" t="s">
        <v>44</v>
      </c>
      <c r="E111" s="12">
        <f>28800/18*9</f>
        <v>14400</v>
      </c>
      <c r="F111" s="13">
        <v>2</v>
      </c>
      <c r="G111" s="12">
        <f t="shared" si="2"/>
        <v>28800</v>
      </c>
      <c r="H111" s="14">
        <v>0.5</v>
      </c>
      <c r="I111" s="12">
        <f t="shared" si="3"/>
        <v>14400</v>
      </c>
      <c r="J111" s="18"/>
      <c r="K111" s="15"/>
      <c r="L111" s="15"/>
      <c r="M111" s="15"/>
      <c r="N111" s="15"/>
      <c r="O111" s="15"/>
      <c r="P111" s="15"/>
      <c r="Q111" s="15"/>
      <c r="R111" s="15"/>
      <c r="S111" s="15"/>
    </row>
    <row r="112" ht="15" customHeight="true" spans="1:19">
      <c r="A112" s="5">
        <v>109</v>
      </c>
      <c r="B112" s="5" t="s">
        <v>13</v>
      </c>
      <c r="C112" s="5" t="s">
        <v>89</v>
      </c>
      <c r="D112" s="5" t="s">
        <v>20</v>
      </c>
      <c r="E112" s="12">
        <f>12000+(12000*6%)</f>
        <v>12720</v>
      </c>
      <c r="F112" s="13">
        <v>1</v>
      </c>
      <c r="G112" s="12">
        <f t="shared" si="2"/>
        <v>12720</v>
      </c>
      <c r="H112" s="14">
        <v>0.5</v>
      </c>
      <c r="I112" s="12">
        <f t="shared" si="3"/>
        <v>6300</v>
      </c>
      <c r="J112" s="18"/>
      <c r="K112" s="15"/>
      <c r="L112" s="15"/>
      <c r="M112" s="15"/>
      <c r="N112" s="15"/>
      <c r="O112" s="15"/>
      <c r="P112" s="15"/>
      <c r="Q112" s="15"/>
      <c r="R112" s="15"/>
      <c r="S112" s="15"/>
    </row>
    <row r="113" ht="15" customHeight="true" spans="1:19">
      <c r="A113" s="5">
        <v>110</v>
      </c>
      <c r="B113" s="5" t="s">
        <v>21</v>
      </c>
      <c r="C113" s="5" t="s">
        <v>292</v>
      </c>
      <c r="D113" s="5" t="s">
        <v>20</v>
      </c>
      <c r="E113" s="12">
        <f>12000+(12000*6%)</f>
        <v>12720</v>
      </c>
      <c r="F113" s="13">
        <v>1</v>
      </c>
      <c r="G113" s="12">
        <f t="shared" si="2"/>
        <v>12720</v>
      </c>
      <c r="H113" s="14">
        <v>0.5</v>
      </c>
      <c r="I113" s="12">
        <f t="shared" si="3"/>
        <v>6300</v>
      </c>
      <c r="J113" s="18"/>
      <c r="K113" s="15"/>
      <c r="L113" s="15"/>
      <c r="M113" s="15"/>
      <c r="N113" s="15"/>
      <c r="O113" s="15"/>
      <c r="P113" s="15"/>
      <c r="Q113" s="15"/>
      <c r="R113" s="15"/>
      <c r="S113" s="15"/>
    </row>
    <row r="114" ht="15" customHeight="true" spans="1:19">
      <c r="A114" s="5">
        <v>111</v>
      </c>
      <c r="B114" s="5" t="s">
        <v>23</v>
      </c>
      <c r="C114" s="5" t="s">
        <v>167</v>
      </c>
      <c r="D114" s="5" t="s">
        <v>20</v>
      </c>
      <c r="E114" s="12">
        <f>83952/36*9</f>
        <v>20988</v>
      </c>
      <c r="F114" s="13">
        <v>2</v>
      </c>
      <c r="G114" s="12">
        <f t="shared" si="2"/>
        <v>41976</v>
      </c>
      <c r="H114" s="14">
        <v>0.5</v>
      </c>
      <c r="I114" s="12">
        <f t="shared" si="3"/>
        <v>20900</v>
      </c>
      <c r="J114" s="18"/>
      <c r="K114" s="15"/>
      <c r="L114" s="15"/>
      <c r="M114" s="15"/>
      <c r="N114" s="15"/>
      <c r="O114" s="15"/>
      <c r="P114" s="15"/>
      <c r="Q114" s="15"/>
      <c r="R114" s="15"/>
      <c r="S114" s="15"/>
    </row>
    <row r="115" ht="15" customHeight="true" spans="1:19">
      <c r="A115" s="5">
        <v>112</v>
      </c>
      <c r="B115" s="5" t="s">
        <v>23</v>
      </c>
      <c r="C115" s="5" t="s">
        <v>391</v>
      </c>
      <c r="D115" s="5" t="s">
        <v>382</v>
      </c>
      <c r="E115" s="12">
        <f>18000/18*9</f>
        <v>9000</v>
      </c>
      <c r="F115" s="13">
        <v>2</v>
      </c>
      <c r="G115" s="12">
        <f t="shared" si="2"/>
        <v>18000</v>
      </c>
      <c r="H115" s="14">
        <v>0.5</v>
      </c>
      <c r="I115" s="12">
        <f t="shared" si="3"/>
        <v>9000</v>
      </c>
      <c r="J115" s="18"/>
      <c r="K115" s="15"/>
      <c r="L115" s="15"/>
      <c r="M115" s="15"/>
      <c r="N115" s="15"/>
      <c r="O115" s="15"/>
      <c r="P115" s="15"/>
      <c r="Q115" s="15"/>
      <c r="R115" s="15"/>
      <c r="S115" s="15"/>
    </row>
    <row r="116" ht="15" customHeight="true" spans="1:19">
      <c r="A116" s="5">
        <v>113</v>
      </c>
      <c r="B116" s="5" t="s">
        <v>13</v>
      </c>
      <c r="C116" s="5" t="s">
        <v>392</v>
      </c>
      <c r="D116" s="5" t="s">
        <v>382</v>
      </c>
      <c r="E116" s="12">
        <f>18000/18*9</f>
        <v>9000</v>
      </c>
      <c r="F116" s="13">
        <v>2</v>
      </c>
      <c r="G116" s="12">
        <f t="shared" si="2"/>
        <v>18000</v>
      </c>
      <c r="H116" s="14">
        <v>0.5</v>
      </c>
      <c r="I116" s="12">
        <f t="shared" si="3"/>
        <v>9000</v>
      </c>
      <c r="J116" s="18"/>
      <c r="K116" s="15"/>
      <c r="L116" s="15"/>
      <c r="M116" s="15"/>
      <c r="N116" s="15"/>
      <c r="O116" s="15"/>
      <c r="P116" s="15"/>
      <c r="Q116" s="15"/>
      <c r="R116" s="15"/>
      <c r="S116" s="15"/>
    </row>
    <row r="117" ht="15" customHeight="true" spans="1:19">
      <c r="A117" s="5">
        <v>114</v>
      </c>
      <c r="B117" s="5" t="s">
        <v>28</v>
      </c>
      <c r="C117" s="5" t="s">
        <v>298</v>
      </c>
      <c r="D117" s="5" t="s">
        <v>44</v>
      </c>
      <c r="E117" s="12">
        <f>27360/18*9</f>
        <v>13680</v>
      </c>
      <c r="F117" s="13">
        <v>2</v>
      </c>
      <c r="G117" s="12">
        <f t="shared" si="2"/>
        <v>27360</v>
      </c>
      <c r="H117" s="14">
        <v>0.5</v>
      </c>
      <c r="I117" s="12">
        <f t="shared" si="3"/>
        <v>13600</v>
      </c>
      <c r="J117" s="18"/>
      <c r="K117" s="15"/>
      <c r="L117" s="15"/>
      <c r="M117" s="15"/>
      <c r="N117" s="15"/>
      <c r="O117" s="15"/>
      <c r="P117" s="15"/>
      <c r="Q117" s="15"/>
      <c r="R117" s="15"/>
      <c r="S117" s="15"/>
    </row>
    <row r="118" ht="15" customHeight="true" spans="1:19">
      <c r="A118" s="5">
        <v>115</v>
      </c>
      <c r="B118" s="5" t="s">
        <v>21</v>
      </c>
      <c r="C118" s="5" t="s">
        <v>185</v>
      </c>
      <c r="D118" s="5" t="s">
        <v>20</v>
      </c>
      <c r="E118" s="12">
        <f>12000+(12000*6%)</f>
        <v>12720</v>
      </c>
      <c r="F118" s="13">
        <v>2</v>
      </c>
      <c r="G118" s="12">
        <f t="shared" si="2"/>
        <v>25440</v>
      </c>
      <c r="H118" s="14">
        <v>0.5</v>
      </c>
      <c r="I118" s="12">
        <f t="shared" si="3"/>
        <v>12700</v>
      </c>
      <c r="J118" s="18"/>
      <c r="K118" s="15"/>
      <c r="L118" s="15"/>
      <c r="M118" s="15"/>
      <c r="N118" s="15"/>
      <c r="O118" s="15"/>
      <c r="P118" s="15"/>
      <c r="Q118" s="15"/>
      <c r="R118" s="15"/>
      <c r="S118" s="15"/>
    </row>
    <row r="119" ht="15" customHeight="true" spans="1:19">
      <c r="A119" s="5">
        <v>116</v>
      </c>
      <c r="B119" s="5" t="s">
        <v>28</v>
      </c>
      <c r="C119" s="5" t="s">
        <v>393</v>
      </c>
      <c r="D119" s="5" t="s">
        <v>44</v>
      </c>
      <c r="E119" s="12">
        <f>28000/18*9</f>
        <v>14000</v>
      </c>
      <c r="F119" s="13">
        <v>2</v>
      </c>
      <c r="G119" s="12">
        <f t="shared" si="2"/>
        <v>28000</v>
      </c>
      <c r="H119" s="14">
        <v>0.5</v>
      </c>
      <c r="I119" s="12">
        <f t="shared" si="3"/>
        <v>14000</v>
      </c>
      <c r="J119" s="18"/>
      <c r="K119" s="15"/>
      <c r="L119" s="15"/>
      <c r="M119" s="15"/>
      <c r="N119" s="15"/>
      <c r="O119" s="15"/>
      <c r="P119" s="15"/>
      <c r="Q119" s="15"/>
      <c r="R119" s="15"/>
      <c r="S119" s="15"/>
    </row>
    <row r="120" ht="15" customHeight="true" spans="1:19">
      <c r="A120" s="5">
        <v>117</v>
      </c>
      <c r="B120" s="5" t="s">
        <v>61</v>
      </c>
      <c r="C120" s="5" t="s">
        <v>394</v>
      </c>
      <c r="D120" s="5" t="s">
        <v>30</v>
      </c>
      <c r="E120" s="12">
        <f>16800</f>
        <v>16800</v>
      </c>
      <c r="F120" s="13">
        <v>2</v>
      </c>
      <c r="G120" s="12">
        <f t="shared" si="2"/>
        <v>33600</v>
      </c>
      <c r="H120" s="14">
        <v>0.5</v>
      </c>
      <c r="I120" s="12">
        <f t="shared" si="3"/>
        <v>16800</v>
      </c>
      <c r="J120" s="18"/>
      <c r="K120" s="15"/>
      <c r="L120" s="15"/>
      <c r="M120" s="15"/>
      <c r="N120" s="15"/>
      <c r="O120" s="15"/>
      <c r="P120" s="15"/>
      <c r="Q120" s="15"/>
      <c r="R120" s="15"/>
      <c r="S120" s="15"/>
    </row>
    <row r="121" ht="15" customHeight="true" spans="1:19">
      <c r="A121" s="5">
        <v>118</v>
      </c>
      <c r="B121" s="5" t="s">
        <v>13</v>
      </c>
      <c r="C121" s="5" t="s">
        <v>34</v>
      </c>
      <c r="D121" s="5" t="s">
        <v>20</v>
      </c>
      <c r="E121" s="12">
        <f>83952/36*9</f>
        <v>20988</v>
      </c>
      <c r="F121" s="13">
        <v>2</v>
      </c>
      <c r="G121" s="12">
        <f t="shared" si="2"/>
        <v>41976</v>
      </c>
      <c r="H121" s="14">
        <v>0.5</v>
      </c>
      <c r="I121" s="12">
        <f t="shared" si="3"/>
        <v>20900</v>
      </c>
      <c r="J121" s="18"/>
      <c r="K121" s="15"/>
      <c r="L121" s="15"/>
      <c r="M121" s="15"/>
      <c r="N121" s="15"/>
      <c r="O121" s="15"/>
      <c r="P121" s="15"/>
      <c r="Q121" s="15"/>
      <c r="R121" s="15"/>
      <c r="S121" s="15"/>
    </row>
    <row r="122" ht="15" customHeight="true" spans="1:19">
      <c r="A122" s="5">
        <v>119</v>
      </c>
      <c r="B122" s="5" t="s">
        <v>13</v>
      </c>
      <c r="C122" s="5" t="s">
        <v>56</v>
      </c>
      <c r="D122" s="5" t="s">
        <v>30</v>
      </c>
      <c r="E122" s="12">
        <f>16800</f>
        <v>16800</v>
      </c>
      <c r="F122" s="13">
        <v>2</v>
      </c>
      <c r="G122" s="12">
        <f t="shared" si="2"/>
        <v>33600</v>
      </c>
      <c r="H122" s="14">
        <v>0.5</v>
      </c>
      <c r="I122" s="12">
        <f t="shared" si="3"/>
        <v>16800</v>
      </c>
      <c r="J122" s="18"/>
      <c r="K122" s="15"/>
      <c r="L122" s="15"/>
      <c r="M122" s="15"/>
      <c r="N122" s="15"/>
      <c r="O122" s="15"/>
      <c r="P122" s="15"/>
      <c r="Q122" s="15"/>
      <c r="R122" s="15"/>
      <c r="S122" s="15"/>
    </row>
    <row r="123" ht="15" customHeight="true" spans="1:19">
      <c r="A123" s="5">
        <v>120</v>
      </c>
      <c r="B123" s="5" t="s">
        <v>21</v>
      </c>
      <c r="C123" s="5" t="s">
        <v>395</v>
      </c>
      <c r="D123" s="5" t="s">
        <v>20</v>
      </c>
      <c r="E123" s="12">
        <f>12000+(12000*6%)</f>
        <v>12720</v>
      </c>
      <c r="F123" s="13">
        <v>2</v>
      </c>
      <c r="G123" s="12">
        <f t="shared" si="2"/>
        <v>25440</v>
      </c>
      <c r="H123" s="14">
        <v>0.5</v>
      </c>
      <c r="I123" s="12">
        <f t="shared" si="3"/>
        <v>12700</v>
      </c>
      <c r="J123" s="18"/>
      <c r="K123" s="15"/>
      <c r="L123" s="15"/>
      <c r="M123" s="15"/>
      <c r="N123" s="15"/>
      <c r="O123" s="15"/>
      <c r="P123" s="15"/>
      <c r="Q123" s="15"/>
      <c r="R123" s="15"/>
      <c r="S123" s="15"/>
    </row>
    <row r="124" ht="15" customHeight="true" spans="1:19">
      <c r="A124" s="5">
        <v>121</v>
      </c>
      <c r="B124" s="5" t="s">
        <v>28</v>
      </c>
      <c r="C124" s="5" t="s">
        <v>324</v>
      </c>
      <c r="D124" s="5" t="s">
        <v>301</v>
      </c>
      <c r="E124" s="12">
        <f>27200/36*9</f>
        <v>6800</v>
      </c>
      <c r="F124" s="13">
        <v>2</v>
      </c>
      <c r="G124" s="12">
        <f t="shared" si="2"/>
        <v>13600</v>
      </c>
      <c r="H124" s="14">
        <v>0.5</v>
      </c>
      <c r="I124" s="12">
        <f t="shared" si="3"/>
        <v>6800</v>
      </c>
      <c r="J124" s="18"/>
      <c r="K124" s="15"/>
      <c r="L124" s="15"/>
      <c r="M124" s="15"/>
      <c r="N124" s="15"/>
      <c r="O124" s="15"/>
      <c r="P124" s="15"/>
      <c r="Q124" s="15"/>
      <c r="R124" s="15"/>
      <c r="S124" s="15"/>
    </row>
    <row r="125" ht="15" customHeight="true" spans="1:19">
      <c r="A125" s="5">
        <v>122</v>
      </c>
      <c r="B125" s="5" t="s">
        <v>28</v>
      </c>
      <c r="C125" s="5" t="s">
        <v>317</v>
      </c>
      <c r="D125" s="5" t="s">
        <v>301</v>
      </c>
      <c r="E125" s="12">
        <f>27200/36*9</f>
        <v>6800</v>
      </c>
      <c r="F125" s="13">
        <v>2</v>
      </c>
      <c r="G125" s="12">
        <f t="shared" si="2"/>
        <v>13600</v>
      </c>
      <c r="H125" s="14">
        <v>0.5</v>
      </c>
      <c r="I125" s="12">
        <f t="shared" si="3"/>
        <v>6800</v>
      </c>
      <c r="J125" s="18"/>
      <c r="K125" s="15"/>
      <c r="L125" s="15"/>
      <c r="M125" s="15"/>
      <c r="N125" s="15"/>
      <c r="O125" s="15"/>
      <c r="P125" s="15"/>
      <c r="Q125" s="15"/>
      <c r="R125" s="15"/>
      <c r="S125" s="15"/>
    </row>
    <row r="126" ht="15" customHeight="true" spans="1:19">
      <c r="A126" s="5">
        <v>123</v>
      </c>
      <c r="B126" s="5" t="s">
        <v>23</v>
      </c>
      <c r="C126" s="5" t="s">
        <v>282</v>
      </c>
      <c r="D126" s="5" t="s">
        <v>20</v>
      </c>
      <c r="E126" s="12">
        <f>15900</f>
        <v>15900</v>
      </c>
      <c r="F126" s="13">
        <v>1</v>
      </c>
      <c r="G126" s="12">
        <f t="shared" si="2"/>
        <v>15900</v>
      </c>
      <c r="H126" s="14">
        <v>0.5</v>
      </c>
      <c r="I126" s="12">
        <f t="shared" si="3"/>
        <v>7900</v>
      </c>
      <c r="J126" s="18"/>
      <c r="K126" s="15"/>
      <c r="L126" s="15"/>
      <c r="M126" s="15"/>
      <c r="N126" s="15"/>
      <c r="O126" s="15"/>
      <c r="P126" s="15"/>
      <c r="Q126" s="15"/>
      <c r="R126" s="15"/>
      <c r="S126" s="15"/>
    </row>
    <row r="127" ht="15" customHeight="true" spans="1:19">
      <c r="A127" s="5">
        <v>124</v>
      </c>
      <c r="B127" s="5" t="s">
        <v>13</v>
      </c>
      <c r="C127" s="5" t="s">
        <v>170</v>
      </c>
      <c r="D127" s="5" t="s">
        <v>20</v>
      </c>
      <c r="E127" s="12">
        <f>41976/18*9</f>
        <v>20988</v>
      </c>
      <c r="F127" s="13">
        <v>2</v>
      </c>
      <c r="G127" s="12">
        <f t="shared" si="2"/>
        <v>41976</v>
      </c>
      <c r="H127" s="14">
        <v>0.5</v>
      </c>
      <c r="I127" s="12">
        <f t="shared" si="3"/>
        <v>20900</v>
      </c>
      <c r="J127" s="18"/>
      <c r="K127" s="15"/>
      <c r="L127" s="15"/>
      <c r="M127" s="15"/>
      <c r="N127" s="15"/>
      <c r="O127" s="15"/>
      <c r="P127" s="15"/>
      <c r="Q127" s="15"/>
      <c r="R127" s="15"/>
      <c r="S127" s="15"/>
    </row>
    <row r="128" ht="15" customHeight="true" spans="1:19">
      <c r="A128" s="5">
        <v>125</v>
      </c>
      <c r="B128" s="5" t="s">
        <v>28</v>
      </c>
      <c r="C128" s="5" t="s">
        <v>193</v>
      </c>
      <c r="D128" s="5" t="s">
        <v>15</v>
      </c>
      <c r="E128" s="12">
        <f>56400/6</f>
        <v>9400</v>
      </c>
      <c r="F128" s="13">
        <v>2</v>
      </c>
      <c r="G128" s="12">
        <f t="shared" si="2"/>
        <v>18800</v>
      </c>
      <c r="H128" s="14">
        <v>0.5</v>
      </c>
      <c r="I128" s="12">
        <f t="shared" si="3"/>
        <v>9400</v>
      </c>
      <c r="J128" s="18"/>
      <c r="K128" s="15"/>
      <c r="L128" s="15"/>
      <c r="M128" s="15"/>
      <c r="N128" s="15"/>
      <c r="O128" s="15"/>
      <c r="P128" s="15"/>
      <c r="Q128" s="15"/>
      <c r="R128" s="15"/>
      <c r="S128" s="15"/>
    </row>
    <row r="129" ht="15" customHeight="true" spans="1:19">
      <c r="A129" s="5">
        <v>126</v>
      </c>
      <c r="B129" s="5" t="s">
        <v>23</v>
      </c>
      <c r="C129" s="5" t="s">
        <v>396</v>
      </c>
      <c r="D129" s="5" t="s">
        <v>382</v>
      </c>
      <c r="E129" s="12">
        <f>10000</f>
        <v>10000</v>
      </c>
      <c r="F129" s="13">
        <v>1</v>
      </c>
      <c r="G129" s="12">
        <f t="shared" si="2"/>
        <v>10000</v>
      </c>
      <c r="H129" s="14">
        <v>0.5</v>
      </c>
      <c r="I129" s="12">
        <f t="shared" si="3"/>
        <v>5000</v>
      </c>
      <c r="J129" s="18"/>
      <c r="K129" s="15"/>
      <c r="L129" s="15"/>
      <c r="M129" s="15"/>
      <c r="N129" s="15"/>
      <c r="O129" s="15"/>
      <c r="P129" s="15"/>
      <c r="Q129" s="15"/>
      <c r="R129" s="15"/>
      <c r="S129" s="15"/>
    </row>
    <row r="130" ht="15" customHeight="true" spans="1:19">
      <c r="A130" s="5">
        <v>127</v>
      </c>
      <c r="B130" s="5" t="s">
        <v>359</v>
      </c>
      <c r="C130" s="5" t="s">
        <v>87</v>
      </c>
      <c r="D130" s="5" t="s">
        <v>20</v>
      </c>
      <c r="E130" s="12">
        <f>12000+(12000*6%)</f>
        <v>12720</v>
      </c>
      <c r="F130" s="13">
        <v>2</v>
      </c>
      <c r="G130" s="12">
        <f t="shared" si="2"/>
        <v>25440</v>
      </c>
      <c r="H130" s="14">
        <v>0.5</v>
      </c>
      <c r="I130" s="12">
        <f t="shared" si="3"/>
        <v>12700</v>
      </c>
      <c r="J130" s="18"/>
      <c r="K130" s="15"/>
      <c r="L130" s="15"/>
      <c r="M130" s="15"/>
      <c r="N130" s="15"/>
      <c r="O130" s="15"/>
      <c r="P130" s="15"/>
      <c r="Q130" s="15"/>
      <c r="R130" s="15"/>
      <c r="S130" s="15"/>
    </row>
    <row r="131" ht="15" customHeight="true" spans="1:19">
      <c r="A131" s="5">
        <v>128</v>
      </c>
      <c r="B131" s="5" t="s">
        <v>28</v>
      </c>
      <c r="C131" s="5" t="s">
        <v>328</v>
      </c>
      <c r="D131" s="5" t="s">
        <v>44</v>
      </c>
      <c r="E131" s="12">
        <f>(289800-10000)/225*9</f>
        <v>11192</v>
      </c>
      <c r="F131" s="13">
        <v>2</v>
      </c>
      <c r="G131" s="12">
        <f t="shared" si="2"/>
        <v>22384</v>
      </c>
      <c r="H131" s="14">
        <v>0.5</v>
      </c>
      <c r="I131" s="12">
        <f t="shared" si="3"/>
        <v>11100</v>
      </c>
      <c r="J131" s="19" t="s">
        <v>397</v>
      </c>
      <c r="K131" s="15"/>
      <c r="L131" s="15"/>
      <c r="M131" s="15"/>
      <c r="N131" s="15"/>
      <c r="O131" s="15"/>
      <c r="P131" s="15"/>
      <c r="Q131" s="15"/>
      <c r="R131" s="15"/>
      <c r="S131" s="15"/>
    </row>
    <row r="132" ht="15" customHeight="true" spans="1:19">
      <c r="A132" s="5">
        <v>129</v>
      </c>
      <c r="B132" s="5" t="s">
        <v>28</v>
      </c>
      <c r="C132" s="5" t="s">
        <v>161</v>
      </c>
      <c r="D132" s="5" t="s">
        <v>15</v>
      </c>
      <c r="E132" s="12">
        <f>(83200-3000)/8</f>
        <v>10025</v>
      </c>
      <c r="F132" s="13">
        <v>2</v>
      </c>
      <c r="G132" s="12">
        <f t="shared" ref="G132:G195" si="5">E132*F132</f>
        <v>20050</v>
      </c>
      <c r="H132" s="14">
        <v>0.5</v>
      </c>
      <c r="I132" s="12">
        <f t="shared" ref="I132:I195" si="6">ROUNDDOWN(G132*H132,-2)</f>
        <v>10000</v>
      </c>
      <c r="J132" s="19" t="s">
        <v>398</v>
      </c>
      <c r="K132" s="15"/>
      <c r="L132" s="15"/>
      <c r="M132" s="15"/>
      <c r="N132" s="15"/>
      <c r="O132" s="15"/>
      <c r="P132" s="15"/>
      <c r="Q132" s="15"/>
      <c r="R132" s="15"/>
      <c r="S132" s="15"/>
    </row>
    <row r="133" ht="15" customHeight="true" spans="1:19">
      <c r="A133" s="5">
        <v>130</v>
      </c>
      <c r="B133" s="5" t="s">
        <v>13</v>
      </c>
      <c r="C133" s="5" t="s">
        <v>99</v>
      </c>
      <c r="D133" s="5" t="s">
        <v>20</v>
      </c>
      <c r="E133" s="12">
        <f>12000+(12000*6%)</f>
        <v>12720</v>
      </c>
      <c r="F133" s="13">
        <v>2</v>
      </c>
      <c r="G133" s="12">
        <f t="shared" si="5"/>
        <v>25440</v>
      </c>
      <c r="H133" s="14">
        <v>0.5</v>
      </c>
      <c r="I133" s="12">
        <f t="shared" si="6"/>
        <v>12700</v>
      </c>
      <c r="J133" s="18"/>
      <c r="K133" s="15"/>
      <c r="L133" s="15"/>
      <c r="M133" s="15"/>
      <c r="N133" s="15"/>
      <c r="O133" s="15"/>
      <c r="P133" s="15"/>
      <c r="Q133" s="15"/>
      <c r="R133" s="15"/>
      <c r="S133" s="15"/>
    </row>
    <row r="134" ht="15" customHeight="true" spans="1:19">
      <c r="A134" s="5">
        <v>131</v>
      </c>
      <c r="B134" s="5" t="s">
        <v>25</v>
      </c>
      <c r="C134" s="5" t="s">
        <v>331</v>
      </c>
      <c r="D134" s="5" t="s">
        <v>20</v>
      </c>
      <c r="E134" s="12">
        <f>12000+(12000*6%)</f>
        <v>12720</v>
      </c>
      <c r="F134" s="13">
        <v>1</v>
      </c>
      <c r="G134" s="12">
        <f t="shared" si="5"/>
        <v>12720</v>
      </c>
      <c r="H134" s="14">
        <v>0.5</v>
      </c>
      <c r="I134" s="12">
        <f t="shared" si="6"/>
        <v>6300</v>
      </c>
      <c r="J134" s="18"/>
      <c r="K134" s="15"/>
      <c r="L134" s="15"/>
      <c r="M134" s="15"/>
      <c r="N134" s="15"/>
      <c r="O134" s="15"/>
      <c r="P134" s="15"/>
      <c r="Q134" s="15"/>
      <c r="R134" s="15"/>
      <c r="S134" s="15"/>
    </row>
    <row r="135" ht="15" customHeight="true" spans="1:19">
      <c r="A135" s="5">
        <v>132</v>
      </c>
      <c r="B135" s="5" t="s">
        <v>13</v>
      </c>
      <c r="C135" s="5" t="s">
        <v>399</v>
      </c>
      <c r="D135" s="5" t="s">
        <v>58</v>
      </c>
      <c r="E135" s="12">
        <f>34020/18*9</f>
        <v>17010</v>
      </c>
      <c r="F135" s="13">
        <v>2</v>
      </c>
      <c r="G135" s="12">
        <f t="shared" si="5"/>
        <v>34020</v>
      </c>
      <c r="H135" s="14">
        <v>0.5</v>
      </c>
      <c r="I135" s="12">
        <f t="shared" si="6"/>
        <v>17000</v>
      </c>
      <c r="J135" s="18"/>
      <c r="K135" s="15"/>
      <c r="L135" s="15"/>
      <c r="M135" s="15"/>
      <c r="N135" s="15"/>
      <c r="O135" s="15"/>
      <c r="P135" s="15"/>
      <c r="Q135" s="15"/>
      <c r="R135" s="15"/>
      <c r="S135" s="15"/>
    </row>
    <row r="136" ht="15" customHeight="true" spans="1:19">
      <c r="A136" s="5">
        <v>133</v>
      </c>
      <c r="B136" s="5" t="s">
        <v>28</v>
      </c>
      <c r="C136" s="5" t="s">
        <v>95</v>
      </c>
      <c r="D136" s="5" t="s">
        <v>30</v>
      </c>
      <c r="E136" s="12">
        <f>16800</f>
        <v>16800</v>
      </c>
      <c r="F136" s="13">
        <v>2</v>
      </c>
      <c r="G136" s="12">
        <f t="shared" si="5"/>
        <v>33600</v>
      </c>
      <c r="H136" s="14">
        <v>0.5</v>
      </c>
      <c r="I136" s="12">
        <f t="shared" si="6"/>
        <v>16800</v>
      </c>
      <c r="J136" s="18"/>
      <c r="K136" s="15"/>
      <c r="L136" s="15"/>
      <c r="M136" s="15"/>
      <c r="N136" s="15"/>
      <c r="O136" s="15"/>
      <c r="P136" s="15"/>
      <c r="Q136" s="15"/>
      <c r="R136" s="15"/>
      <c r="S136" s="15"/>
    </row>
    <row r="137" ht="15" customHeight="true" spans="1:19">
      <c r="A137" s="5">
        <v>134</v>
      </c>
      <c r="B137" s="5" t="s">
        <v>28</v>
      </c>
      <c r="C137" s="5" t="s">
        <v>400</v>
      </c>
      <c r="D137" s="5" t="s">
        <v>30</v>
      </c>
      <c r="E137" s="12">
        <f>16800</f>
        <v>16800</v>
      </c>
      <c r="F137" s="13">
        <v>2</v>
      </c>
      <c r="G137" s="12">
        <f t="shared" si="5"/>
        <v>33600</v>
      </c>
      <c r="H137" s="14">
        <v>0.5</v>
      </c>
      <c r="I137" s="12">
        <f t="shared" si="6"/>
        <v>16800</v>
      </c>
      <c r="J137" s="18"/>
      <c r="K137" s="15"/>
      <c r="L137" s="15"/>
      <c r="M137" s="15"/>
      <c r="N137" s="15"/>
      <c r="O137" s="15"/>
      <c r="P137" s="15"/>
      <c r="Q137" s="15"/>
      <c r="R137" s="15"/>
      <c r="S137" s="15"/>
    </row>
    <row r="138" ht="15" customHeight="true" spans="1:19">
      <c r="A138" s="5">
        <v>135</v>
      </c>
      <c r="B138" s="5" t="s">
        <v>25</v>
      </c>
      <c r="C138" s="5" t="s">
        <v>401</v>
      </c>
      <c r="D138" s="5" t="s">
        <v>15</v>
      </c>
      <c r="E138" s="12">
        <f>288000/180*9</f>
        <v>14400</v>
      </c>
      <c r="F138" s="13">
        <v>2</v>
      </c>
      <c r="G138" s="12">
        <f t="shared" si="5"/>
        <v>28800</v>
      </c>
      <c r="H138" s="14">
        <v>0.5</v>
      </c>
      <c r="I138" s="12">
        <f t="shared" si="6"/>
        <v>14400</v>
      </c>
      <c r="J138" s="18"/>
      <c r="K138" s="15"/>
      <c r="L138" s="15"/>
      <c r="M138" s="15"/>
      <c r="N138" s="15"/>
      <c r="O138" s="15"/>
      <c r="P138" s="15"/>
      <c r="Q138" s="15"/>
      <c r="R138" s="15"/>
      <c r="S138" s="15"/>
    </row>
    <row r="139" ht="15" customHeight="true" spans="1:19">
      <c r="A139" s="5">
        <v>136</v>
      </c>
      <c r="B139" s="5" t="s">
        <v>28</v>
      </c>
      <c r="C139" s="5" t="s">
        <v>40</v>
      </c>
      <c r="D139" s="5" t="s">
        <v>15</v>
      </c>
      <c r="E139" s="12">
        <f>85500/45*9</f>
        <v>17100</v>
      </c>
      <c r="F139" s="13">
        <v>2</v>
      </c>
      <c r="G139" s="12">
        <f t="shared" si="5"/>
        <v>34200</v>
      </c>
      <c r="H139" s="14">
        <v>0.5</v>
      </c>
      <c r="I139" s="12">
        <f t="shared" si="6"/>
        <v>17100</v>
      </c>
      <c r="J139" s="18"/>
      <c r="K139" s="15"/>
      <c r="L139" s="15"/>
      <c r="M139" s="15"/>
      <c r="N139" s="15"/>
      <c r="O139" s="15"/>
      <c r="P139" s="15"/>
      <c r="Q139" s="15"/>
      <c r="R139" s="15"/>
      <c r="S139" s="15"/>
    </row>
    <row r="140" ht="15" customHeight="true" spans="1:19">
      <c r="A140" s="5">
        <v>137</v>
      </c>
      <c r="B140" s="5" t="s">
        <v>28</v>
      </c>
      <c r="C140" s="5" t="s">
        <v>402</v>
      </c>
      <c r="D140" s="5" t="s">
        <v>44</v>
      </c>
      <c r="E140" s="12">
        <f>18900/13.5*9</f>
        <v>12600</v>
      </c>
      <c r="F140" s="13">
        <v>1</v>
      </c>
      <c r="G140" s="12">
        <f t="shared" si="5"/>
        <v>12600</v>
      </c>
      <c r="H140" s="14">
        <v>0.5</v>
      </c>
      <c r="I140" s="12">
        <f t="shared" si="6"/>
        <v>6300</v>
      </c>
      <c r="J140" s="18"/>
      <c r="K140" s="15"/>
      <c r="L140" s="15"/>
      <c r="M140" s="15"/>
      <c r="N140" s="15"/>
      <c r="O140" s="15"/>
      <c r="P140" s="15"/>
      <c r="Q140" s="15"/>
      <c r="R140" s="15"/>
      <c r="S140" s="15"/>
    </row>
    <row r="141" ht="15" customHeight="true" spans="1:19">
      <c r="A141" s="5">
        <v>138</v>
      </c>
      <c r="B141" s="5" t="s">
        <v>28</v>
      </c>
      <c r="C141" s="5" t="s">
        <v>321</v>
      </c>
      <c r="D141" s="5" t="s">
        <v>44</v>
      </c>
      <c r="E141" s="12">
        <f>18900/13.5*9</f>
        <v>12600</v>
      </c>
      <c r="F141" s="13">
        <v>1</v>
      </c>
      <c r="G141" s="12">
        <f t="shared" si="5"/>
        <v>12600</v>
      </c>
      <c r="H141" s="14">
        <v>0.5</v>
      </c>
      <c r="I141" s="12">
        <f t="shared" si="6"/>
        <v>6300</v>
      </c>
      <c r="J141" s="18"/>
      <c r="K141" s="15"/>
      <c r="L141" s="15"/>
      <c r="M141" s="15"/>
      <c r="N141" s="15"/>
      <c r="O141" s="15"/>
      <c r="P141" s="15"/>
      <c r="Q141" s="15"/>
      <c r="R141" s="15"/>
      <c r="S141" s="15"/>
    </row>
    <row r="142" ht="15" customHeight="true" spans="1:19">
      <c r="A142" s="5">
        <v>139</v>
      </c>
      <c r="B142" s="5" t="s">
        <v>28</v>
      </c>
      <c r="C142" s="5" t="s">
        <v>297</v>
      </c>
      <c r="D142" s="5" t="s">
        <v>44</v>
      </c>
      <c r="E142" s="12">
        <f>21700/15.5*9</f>
        <v>12600</v>
      </c>
      <c r="F142" s="13">
        <v>1</v>
      </c>
      <c r="G142" s="12">
        <f t="shared" si="5"/>
        <v>12600</v>
      </c>
      <c r="H142" s="14">
        <v>0.5</v>
      </c>
      <c r="I142" s="12">
        <f t="shared" si="6"/>
        <v>6300</v>
      </c>
      <c r="J142" s="18"/>
      <c r="K142" s="15"/>
      <c r="L142" s="15"/>
      <c r="M142" s="15"/>
      <c r="N142" s="15"/>
      <c r="O142" s="15"/>
      <c r="P142" s="15"/>
      <c r="Q142" s="15"/>
      <c r="R142" s="15"/>
      <c r="S142" s="15"/>
    </row>
    <row r="143" ht="15" customHeight="true" spans="1:19">
      <c r="A143" s="5">
        <v>140</v>
      </c>
      <c r="B143" s="5" t="s">
        <v>13</v>
      </c>
      <c r="C143" s="5" t="s">
        <v>267</v>
      </c>
      <c r="D143" s="5" t="s">
        <v>44</v>
      </c>
      <c r="E143" s="12">
        <f>18900/13.5*9</f>
        <v>12600</v>
      </c>
      <c r="F143" s="13">
        <v>1</v>
      </c>
      <c r="G143" s="12">
        <f t="shared" si="5"/>
        <v>12600</v>
      </c>
      <c r="H143" s="14">
        <v>0.5</v>
      </c>
      <c r="I143" s="12">
        <f t="shared" si="6"/>
        <v>6300</v>
      </c>
      <c r="J143" s="18"/>
      <c r="K143" s="15"/>
      <c r="L143" s="15"/>
      <c r="M143" s="15"/>
      <c r="N143" s="15"/>
      <c r="O143" s="15"/>
      <c r="P143" s="15"/>
      <c r="Q143" s="15"/>
      <c r="R143" s="15"/>
      <c r="S143" s="15"/>
    </row>
    <row r="144" ht="15" customHeight="true" spans="1:19">
      <c r="A144" s="5">
        <v>141</v>
      </c>
      <c r="B144" s="5" t="s">
        <v>98</v>
      </c>
      <c r="C144" s="5" t="s">
        <v>403</v>
      </c>
      <c r="D144" s="5" t="s">
        <v>20</v>
      </c>
      <c r="E144" s="12">
        <f>12000+(12000*6%)</f>
        <v>12720</v>
      </c>
      <c r="F144" s="13">
        <v>1</v>
      </c>
      <c r="G144" s="12">
        <f t="shared" si="5"/>
        <v>12720</v>
      </c>
      <c r="H144" s="14">
        <v>0.5</v>
      </c>
      <c r="I144" s="12">
        <f t="shared" si="6"/>
        <v>6300</v>
      </c>
      <c r="J144" s="18"/>
      <c r="K144" s="15"/>
      <c r="L144" s="15"/>
      <c r="M144" s="15"/>
      <c r="N144" s="15"/>
      <c r="O144" s="15"/>
      <c r="P144" s="15"/>
      <c r="Q144" s="15"/>
      <c r="R144" s="15"/>
      <c r="S144" s="15"/>
    </row>
    <row r="145" ht="15" customHeight="true" spans="1:19">
      <c r="A145" s="5">
        <v>142</v>
      </c>
      <c r="B145" s="5" t="s">
        <v>13</v>
      </c>
      <c r="C145" s="5" t="s">
        <v>97</v>
      </c>
      <c r="D145" s="5" t="s">
        <v>20</v>
      </c>
      <c r="E145" s="12">
        <f>12000+(12000*6%)</f>
        <v>12720</v>
      </c>
      <c r="F145" s="13">
        <v>2</v>
      </c>
      <c r="G145" s="12">
        <f t="shared" si="5"/>
        <v>25440</v>
      </c>
      <c r="H145" s="14">
        <v>0.5</v>
      </c>
      <c r="I145" s="12">
        <f t="shared" si="6"/>
        <v>12700</v>
      </c>
      <c r="J145" s="18"/>
      <c r="K145" s="15"/>
      <c r="L145" s="15"/>
      <c r="M145" s="15"/>
      <c r="N145" s="15"/>
      <c r="O145" s="15"/>
      <c r="P145" s="15"/>
      <c r="Q145" s="15"/>
      <c r="R145" s="15"/>
      <c r="S145" s="15"/>
    </row>
    <row r="146" ht="15" customHeight="true" spans="1:19">
      <c r="A146" s="5">
        <v>143</v>
      </c>
      <c r="B146" s="5" t="s">
        <v>25</v>
      </c>
      <c r="C146" s="5" t="s">
        <v>26</v>
      </c>
      <c r="D146" s="5" t="s">
        <v>20</v>
      </c>
      <c r="E146" s="12">
        <f>12000+(12000*6%)</f>
        <v>12720</v>
      </c>
      <c r="F146" s="13">
        <v>2</v>
      </c>
      <c r="G146" s="12">
        <f t="shared" si="5"/>
        <v>25440</v>
      </c>
      <c r="H146" s="14">
        <v>0.5</v>
      </c>
      <c r="I146" s="12">
        <f t="shared" si="6"/>
        <v>12700</v>
      </c>
      <c r="J146" s="18"/>
      <c r="K146" s="15"/>
      <c r="L146" s="15"/>
      <c r="M146" s="15"/>
      <c r="N146" s="15"/>
      <c r="O146" s="15"/>
      <c r="P146" s="15"/>
      <c r="Q146" s="15"/>
      <c r="R146" s="15"/>
      <c r="S146" s="15"/>
    </row>
    <row r="147" ht="15" customHeight="true" spans="1:19">
      <c r="A147" s="5">
        <v>144</v>
      </c>
      <c r="B147" s="5" t="s">
        <v>98</v>
      </c>
      <c r="C147" s="5" t="s">
        <v>404</v>
      </c>
      <c r="D147" s="5" t="s">
        <v>15</v>
      </c>
      <c r="E147" s="12">
        <f>338688/216*9</f>
        <v>14112</v>
      </c>
      <c r="F147" s="13">
        <v>2</v>
      </c>
      <c r="G147" s="12">
        <f t="shared" si="5"/>
        <v>28224</v>
      </c>
      <c r="H147" s="14">
        <v>0.5</v>
      </c>
      <c r="I147" s="12">
        <f t="shared" si="6"/>
        <v>14100</v>
      </c>
      <c r="J147" s="20"/>
      <c r="K147" s="15"/>
      <c r="L147" s="15"/>
      <c r="M147" s="15"/>
      <c r="N147" s="15"/>
      <c r="O147" s="15"/>
      <c r="P147" s="15"/>
      <c r="Q147" s="15"/>
      <c r="R147" s="15"/>
      <c r="S147" s="15"/>
    </row>
    <row r="148" ht="15" customHeight="true" spans="1:19">
      <c r="A148" s="5">
        <v>145</v>
      </c>
      <c r="B148" s="5" t="s">
        <v>59</v>
      </c>
      <c r="C148" s="5" t="s">
        <v>405</v>
      </c>
      <c r="D148" s="5" t="s">
        <v>30</v>
      </c>
      <c r="E148" s="12">
        <v>16800</v>
      </c>
      <c r="F148" s="13">
        <v>1</v>
      </c>
      <c r="G148" s="12">
        <f t="shared" si="5"/>
        <v>16800</v>
      </c>
      <c r="H148" s="14">
        <v>0.5</v>
      </c>
      <c r="I148" s="12">
        <f t="shared" si="6"/>
        <v>8400</v>
      </c>
      <c r="J148" s="20"/>
      <c r="K148" s="15"/>
      <c r="L148" s="15"/>
      <c r="M148" s="15"/>
      <c r="N148" s="15"/>
      <c r="O148" s="15"/>
      <c r="P148" s="15"/>
      <c r="Q148" s="15"/>
      <c r="R148" s="15"/>
      <c r="S148" s="15"/>
    </row>
    <row r="149" ht="15" customHeight="true" spans="1:19">
      <c r="A149" s="5">
        <v>146</v>
      </c>
      <c r="B149" s="5" t="s">
        <v>61</v>
      </c>
      <c r="C149" s="5" t="s">
        <v>406</v>
      </c>
      <c r="D149" s="5" t="s">
        <v>20</v>
      </c>
      <c r="E149" s="12">
        <f>12000*1.06</f>
        <v>12720</v>
      </c>
      <c r="F149" s="13">
        <v>2</v>
      </c>
      <c r="G149" s="12">
        <f t="shared" si="5"/>
        <v>25440</v>
      </c>
      <c r="H149" s="14">
        <v>0.5</v>
      </c>
      <c r="I149" s="12">
        <f t="shared" si="6"/>
        <v>12700</v>
      </c>
      <c r="J149" s="20"/>
      <c r="K149" s="15"/>
      <c r="L149" s="15"/>
      <c r="M149" s="15"/>
      <c r="N149" s="15"/>
      <c r="O149" s="15"/>
      <c r="P149" s="15"/>
      <c r="Q149" s="15"/>
      <c r="R149" s="15"/>
      <c r="S149" s="15"/>
    </row>
    <row r="150" ht="15" customHeight="true" spans="1:19">
      <c r="A150" s="5">
        <v>147</v>
      </c>
      <c r="B150" s="5" t="s">
        <v>61</v>
      </c>
      <c r="C150" s="5" t="s">
        <v>278</v>
      </c>
      <c r="D150" s="5" t="s">
        <v>20</v>
      </c>
      <c r="E150" s="12">
        <f>12000*1.06</f>
        <v>12720</v>
      </c>
      <c r="F150" s="13">
        <v>2</v>
      </c>
      <c r="G150" s="12">
        <f t="shared" si="5"/>
        <v>25440</v>
      </c>
      <c r="H150" s="14">
        <v>0.5</v>
      </c>
      <c r="I150" s="12">
        <f t="shared" si="6"/>
        <v>12700</v>
      </c>
      <c r="J150" s="20"/>
      <c r="K150" s="15"/>
      <c r="L150" s="15"/>
      <c r="M150" s="15"/>
      <c r="N150" s="15"/>
      <c r="O150" s="15"/>
      <c r="P150" s="15"/>
      <c r="Q150" s="15"/>
      <c r="R150" s="15"/>
      <c r="S150" s="15"/>
    </row>
    <row r="151" ht="15" customHeight="true" spans="1:19">
      <c r="A151" s="5">
        <v>148</v>
      </c>
      <c r="B151" s="5" t="s">
        <v>98</v>
      </c>
      <c r="C151" s="5" t="s">
        <v>407</v>
      </c>
      <c r="D151" s="5" t="s">
        <v>15</v>
      </c>
      <c r="E151" s="12">
        <f>56400/6</f>
        <v>9400</v>
      </c>
      <c r="F151" s="13">
        <v>2</v>
      </c>
      <c r="G151" s="12">
        <f t="shared" si="5"/>
        <v>18800</v>
      </c>
      <c r="H151" s="14">
        <v>0.5</v>
      </c>
      <c r="I151" s="12">
        <f t="shared" si="6"/>
        <v>9400</v>
      </c>
      <c r="J151" s="20"/>
      <c r="K151" s="15"/>
      <c r="L151" s="15"/>
      <c r="M151" s="15"/>
      <c r="N151" s="15"/>
      <c r="O151" s="15"/>
      <c r="P151" s="15"/>
      <c r="Q151" s="15"/>
      <c r="R151" s="15"/>
      <c r="S151" s="15"/>
    </row>
    <row r="152" ht="15" customHeight="true" spans="1:19">
      <c r="A152" s="5">
        <v>149</v>
      </c>
      <c r="B152" s="5" t="s">
        <v>28</v>
      </c>
      <c r="C152" s="5" t="s">
        <v>408</v>
      </c>
      <c r="D152" s="5" t="s">
        <v>347</v>
      </c>
      <c r="E152" s="12">
        <f>100000/100*9</f>
        <v>9000</v>
      </c>
      <c r="F152" s="13">
        <v>2</v>
      </c>
      <c r="G152" s="12">
        <f t="shared" si="5"/>
        <v>18000</v>
      </c>
      <c r="H152" s="14">
        <v>0.5</v>
      </c>
      <c r="I152" s="12">
        <f t="shared" si="6"/>
        <v>9000</v>
      </c>
      <c r="J152" s="20"/>
      <c r="K152" s="15"/>
      <c r="L152" s="15"/>
      <c r="M152" s="15"/>
      <c r="N152" s="15"/>
      <c r="O152" s="15"/>
      <c r="P152" s="15"/>
      <c r="Q152" s="15"/>
      <c r="R152" s="15"/>
      <c r="S152" s="15"/>
    </row>
    <row r="153" ht="15" customHeight="true" spans="1:19">
      <c r="A153" s="5">
        <v>150</v>
      </c>
      <c r="B153" s="5" t="s">
        <v>28</v>
      </c>
      <c r="C153" s="5" t="s">
        <v>175</v>
      </c>
      <c r="D153" s="5" t="s">
        <v>20</v>
      </c>
      <c r="E153" s="12">
        <f>48000/4*1.06</f>
        <v>12720</v>
      </c>
      <c r="F153" s="13">
        <v>2</v>
      </c>
      <c r="G153" s="12">
        <f t="shared" si="5"/>
        <v>25440</v>
      </c>
      <c r="H153" s="14">
        <v>0.5</v>
      </c>
      <c r="I153" s="12">
        <f t="shared" si="6"/>
        <v>12700</v>
      </c>
      <c r="J153" s="20"/>
      <c r="K153" s="15"/>
      <c r="L153" s="15"/>
      <c r="M153" s="15"/>
      <c r="N153" s="15"/>
      <c r="O153" s="15"/>
      <c r="P153" s="15"/>
      <c r="Q153" s="15"/>
      <c r="R153" s="15"/>
      <c r="S153" s="15"/>
    </row>
    <row r="154" ht="15" customHeight="true" spans="1:19">
      <c r="A154" s="5">
        <v>151</v>
      </c>
      <c r="B154" s="5" t="s">
        <v>61</v>
      </c>
      <c r="C154" s="5" t="s">
        <v>279</v>
      </c>
      <c r="D154" s="5" t="s">
        <v>20</v>
      </c>
      <c r="E154" s="12">
        <f>12000*1.06</f>
        <v>12720</v>
      </c>
      <c r="F154" s="13">
        <v>1</v>
      </c>
      <c r="G154" s="12">
        <f t="shared" si="5"/>
        <v>12720</v>
      </c>
      <c r="H154" s="14">
        <v>0.5</v>
      </c>
      <c r="I154" s="12">
        <f t="shared" si="6"/>
        <v>6300</v>
      </c>
      <c r="J154" s="20" t="s">
        <v>409</v>
      </c>
      <c r="K154" s="15"/>
      <c r="L154" s="15"/>
      <c r="M154" s="15" t="s">
        <v>410</v>
      </c>
      <c r="N154" s="15"/>
      <c r="O154" s="15"/>
      <c r="P154" s="15"/>
      <c r="Q154" s="15"/>
      <c r="R154" s="15"/>
      <c r="S154" s="15"/>
    </row>
    <row r="155" ht="15" customHeight="true" spans="1:19">
      <c r="A155" s="5">
        <v>152</v>
      </c>
      <c r="B155" s="5" t="s">
        <v>25</v>
      </c>
      <c r="C155" s="5" t="s">
        <v>411</v>
      </c>
      <c r="D155" s="5" t="s">
        <v>131</v>
      </c>
      <c r="E155" s="12">
        <f>900*9</f>
        <v>8100</v>
      </c>
      <c r="F155" s="13">
        <v>2</v>
      </c>
      <c r="G155" s="12">
        <f t="shared" si="5"/>
        <v>16200</v>
      </c>
      <c r="H155" s="14">
        <v>0.5</v>
      </c>
      <c r="I155" s="12">
        <f t="shared" si="6"/>
        <v>8100</v>
      </c>
      <c r="J155" s="20" t="s">
        <v>412</v>
      </c>
      <c r="K155" s="15" t="s">
        <v>413</v>
      </c>
      <c r="L155" s="15"/>
      <c r="M155" s="15" t="s">
        <v>410</v>
      </c>
      <c r="N155" s="15"/>
      <c r="O155" s="15"/>
      <c r="P155" s="15"/>
      <c r="Q155" s="15"/>
      <c r="R155" s="15"/>
      <c r="S155" s="15"/>
    </row>
    <row r="156" ht="15" customHeight="true" spans="1:19">
      <c r="A156" s="5">
        <v>153</v>
      </c>
      <c r="B156" s="5" t="s">
        <v>28</v>
      </c>
      <c r="C156" s="5" t="s">
        <v>88</v>
      </c>
      <c r="D156" s="5" t="s">
        <v>30</v>
      </c>
      <c r="E156" s="12">
        <v>16800</v>
      </c>
      <c r="F156" s="13">
        <v>2</v>
      </c>
      <c r="G156" s="12">
        <f t="shared" si="5"/>
        <v>33600</v>
      </c>
      <c r="H156" s="14">
        <v>0.5</v>
      </c>
      <c r="I156" s="12">
        <f t="shared" si="6"/>
        <v>16800</v>
      </c>
      <c r="J156" s="20"/>
      <c r="K156" s="15"/>
      <c r="L156" s="15"/>
      <c r="M156" s="15"/>
      <c r="N156" s="15"/>
      <c r="O156" s="15"/>
      <c r="P156" s="15"/>
      <c r="Q156" s="15"/>
      <c r="R156" s="15"/>
      <c r="S156" s="15"/>
    </row>
    <row r="157" ht="15" customHeight="true" spans="1:19">
      <c r="A157" s="5">
        <v>154</v>
      </c>
      <c r="B157" s="5" t="s">
        <v>21</v>
      </c>
      <c r="C157" s="5" t="s">
        <v>231</v>
      </c>
      <c r="D157" s="5" t="s">
        <v>20</v>
      </c>
      <c r="E157" s="12">
        <f>12000*1.06</f>
        <v>12720</v>
      </c>
      <c r="F157" s="13">
        <v>1</v>
      </c>
      <c r="G157" s="12">
        <f t="shared" si="5"/>
        <v>12720</v>
      </c>
      <c r="H157" s="14">
        <v>0.5</v>
      </c>
      <c r="I157" s="12">
        <f t="shared" si="6"/>
        <v>6300</v>
      </c>
      <c r="J157" s="20"/>
      <c r="K157" s="15"/>
      <c r="L157" s="15"/>
      <c r="M157" s="15"/>
      <c r="N157" s="15"/>
      <c r="O157" s="15"/>
      <c r="P157" s="15"/>
      <c r="Q157" s="15"/>
      <c r="R157" s="15"/>
      <c r="S157" s="15"/>
    </row>
    <row r="158" ht="15" customHeight="true" spans="1:19">
      <c r="A158" s="5">
        <v>155</v>
      </c>
      <c r="B158" s="5" t="s">
        <v>25</v>
      </c>
      <c r="C158" s="5" t="s">
        <v>156</v>
      </c>
      <c r="D158" s="5" t="s">
        <v>20</v>
      </c>
      <c r="E158" s="12">
        <f>12000*1.06</f>
        <v>12720</v>
      </c>
      <c r="F158" s="13">
        <v>1</v>
      </c>
      <c r="G158" s="12">
        <f t="shared" si="5"/>
        <v>12720</v>
      </c>
      <c r="H158" s="14">
        <v>0.5</v>
      </c>
      <c r="I158" s="12">
        <f t="shared" si="6"/>
        <v>6300</v>
      </c>
      <c r="J158" s="20"/>
      <c r="K158" s="15"/>
      <c r="L158" s="15"/>
      <c r="M158" s="15"/>
      <c r="N158" s="15"/>
      <c r="O158" s="15"/>
      <c r="P158" s="15"/>
      <c r="Q158" s="15"/>
      <c r="R158" s="15"/>
      <c r="S158" s="15"/>
    </row>
    <row r="159" ht="15" customHeight="true" spans="1:19">
      <c r="A159" s="5">
        <v>156</v>
      </c>
      <c r="B159" s="5" t="s">
        <v>21</v>
      </c>
      <c r="C159" s="5" t="s">
        <v>96</v>
      </c>
      <c r="D159" s="5" t="s">
        <v>20</v>
      </c>
      <c r="E159" s="12">
        <f>12000*1.06</f>
        <v>12720</v>
      </c>
      <c r="F159" s="13">
        <v>2</v>
      </c>
      <c r="G159" s="12">
        <f t="shared" si="5"/>
        <v>25440</v>
      </c>
      <c r="H159" s="14">
        <v>0.5</v>
      </c>
      <c r="I159" s="12">
        <f t="shared" si="6"/>
        <v>12700</v>
      </c>
      <c r="J159" s="20" t="s">
        <v>414</v>
      </c>
      <c r="K159" s="15"/>
      <c r="L159" s="15" t="s">
        <v>415</v>
      </c>
      <c r="M159" s="15"/>
      <c r="N159" s="15" t="s">
        <v>410</v>
      </c>
      <c r="O159" s="15"/>
      <c r="P159" s="15"/>
      <c r="Q159" s="15"/>
      <c r="R159" s="15"/>
      <c r="S159" s="15"/>
    </row>
    <row r="160" ht="15" customHeight="true" spans="1:19">
      <c r="A160" s="5">
        <v>157</v>
      </c>
      <c r="B160" s="5" t="s">
        <v>21</v>
      </c>
      <c r="C160" s="5" t="s">
        <v>39</v>
      </c>
      <c r="D160" s="5" t="s">
        <v>15</v>
      </c>
      <c r="E160" s="12">
        <f>56400/6</f>
        <v>9400</v>
      </c>
      <c r="F160" s="13">
        <v>2</v>
      </c>
      <c r="G160" s="12">
        <f t="shared" si="5"/>
        <v>18800</v>
      </c>
      <c r="H160" s="14">
        <v>0.5</v>
      </c>
      <c r="I160" s="12">
        <f t="shared" si="6"/>
        <v>9400</v>
      </c>
      <c r="J160" s="20"/>
      <c r="K160" s="15"/>
      <c r="L160" s="15"/>
      <c r="M160" s="15"/>
      <c r="N160" s="15"/>
      <c r="O160" s="15"/>
      <c r="P160" s="15"/>
      <c r="Q160" s="15"/>
      <c r="R160" s="15"/>
      <c r="S160" s="15"/>
    </row>
    <row r="161" ht="15" customHeight="true" spans="1:19">
      <c r="A161" s="5">
        <v>158</v>
      </c>
      <c r="B161" s="5" t="s">
        <v>13</v>
      </c>
      <c r="C161" s="5" t="s">
        <v>129</v>
      </c>
      <c r="D161" s="5" t="s">
        <v>20</v>
      </c>
      <c r="E161" s="12">
        <f>12000*1.06</f>
        <v>12720</v>
      </c>
      <c r="F161" s="13">
        <v>1</v>
      </c>
      <c r="G161" s="12">
        <f t="shared" si="5"/>
        <v>12720</v>
      </c>
      <c r="H161" s="14">
        <v>0.5</v>
      </c>
      <c r="I161" s="12">
        <f t="shared" si="6"/>
        <v>6300</v>
      </c>
      <c r="J161" s="20"/>
      <c r="K161" s="15"/>
      <c r="L161" s="15"/>
      <c r="M161" s="15"/>
      <c r="N161" s="15"/>
      <c r="O161" s="15"/>
      <c r="P161" s="15"/>
      <c r="Q161" s="15"/>
      <c r="R161" s="15"/>
      <c r="S161" s="15"/>
    </row>
    <row r="162" ht="15" customHeight="true" spans="1:19">
      <c r="A162" s="5">
        <v>159</v>
      </c>
      <c r="B162" s="5" t="s">
        <v>28</v>
      </c>
      <c r="C162" s="5" t="s">
        <v>29</v>
      </c>
      <c r="D162" s="5" t="s">
        <v>30</v>
      </c>
      <c r="E162" s="12">
        <v>16800</v>
      </c>
      <c r="F162" s="13">
        <v>2</v>
      </c>
      <c r="G162" s="12">
        <f t="shared" si="5"/>
        <v>33600</v>
      </c>
      <c r="H162" s="14">
        <v>0.5</v>
      </c>
      <c r="I162" s="12">
        <f t="shared" si="6"/>
        <v>16800</v>
      </c>
      <c r="J162" s="20"/>
      <c r="K162" s="15"/>
      <c r="L162" s="15"/>
      <c r="M162" s="15"/>
      <c r="N162" s="15"/>
      <c r="O162" s="15"/>
      <c r="P162" s="15"/>
      <c r="Q162" s="15"/>
      <c r="R162" s="15"/>
      <c r="S162" s="15"/>
    </row>
    <row r="163" ht="15" customHeight="true" spans="1:19">
      <c r="A163" s="5">
        <v>160</v>
      </c>
      <c r="B163" s="5" t="s">
        <v>28</v>
      </c>
      <c r="C163" s="5" t="s">
        <v>29</v>
      </c>
      <c r="D163" s="5" t="s">
        <v>44</v>
      </c>
      <c r="E163" s="12">
        <f>75000/54*9</f>
        <v>12500</v>
      </c>
      <c r="F163" s="13">
        <v>2</v>
      </c>
      <c r="G163" s="12">
        <f t="shared" si="5"/>
        <v>25000</v>
      </c>
      <c r="H163" s="14">
        <v>0.5</v>
      </c>
      <c r="I163" s="12">
        <f t="shared" si="6"/>
        <v>12500</v>
      </c>
      <c r="J163" s="20"/>
      <c r="K163" s="15"/>
      <c r="L163" s="15"/>
      <c r="M163" s="15"/>
      <c r="N163" s="15"/>
      <c r="O163" s="15"/>
      <c r="P163" s="15"/>
      <c r="Q163" s="15"/>
      <c r="R163" s="15"/>
      <c r="S163" s="15"/>
    </row>
    <row r="164" ht="15" customHeight="true" spans="1:19">
      <c r="A164" s="5">
        <v>161</v>
      </c>
      <c r="B164" s="5" t="s">
        <v>112</v>
      </c>
      <c r="C164" s="5" t="s">
        <v>187</v>
      </c>
      <c r="D164" s="5" t="s">
        <v>20</v>
      </c>
      <c r="E164" s="12">
        <f>12000*1.06</f>
        <v>12720</v>
      </c>
      <c r="F164" s="13">
        <v>2</v>
      </c>
      <c r="G164" s="12">
        <f t="shared" si="5"/>
        <v>25440</v>
      </c>
      <c r="H164" s="14">
        <v>0.5</v>
      </c>
      <c r="I164" s="12">
        <f t="shared" si="6"/>
        <v>12700</v>
      </c>
      <c r="J164" s="20"/>
      <c r="K164" s="15"/>
      <c r="L164" s="15"/>
      <c r="M164" s="15"/>
      <c r="N164" s="15"/>
      <c r="O164" s="15"/>
      <c r="P164" s="15"/>
      <c r="Q164" s="15"/>
      <c r="R164" s="15"/>
      <c r="S164" s="15"/>
    </row>
    <row r="165" ht="15" customHeight="true" spans="1:19">
      <c r="A165" s="5">
        <v>162</v>
      </c>
      <c r="B165" s="5" t="s">
        <v>23</v>
      </c>
      <c r="C165" s="5" t="s">
        <v>416</v>
      </c>
      <c r="D165" s="5" t="s">
        <v>131</v>
      </c>
      <c r="E165" s="12">
        <f>39600/18*9</f>
        <v>19800</v>
      </c>
      <c r="F165" s="13">
        <v>2</v>
      </c>
      <c r="G165" s="12">
        <f t="shared" si="5"/>
        <v>39600</v>
      </c>
      <c r="H165" s="14">
        <v>0.5</v>
      </c>
      <c r="I165" s="12">
        <f t="shared" si="6"/>
        <v>19800</v>
      </c>
      <c r="J165" s="20"/>
      <c r="K165" s="15"/>
      <c r="L165" s="15"/>
      <c r="M165" s="15"/>
      <c r="N165" s="15"/>
      <c r="O165" s="15"/>
      <c r="P165" s="15"/>
      <c r="Q165" s="15"/>
      <c r="R165" s="15"/>
      <c r="S165" s="15"/>
    </row>
    <row r="166" ht="15" customHeight="true" spans="1:19">
      <c r="A166" s="5">
        <v>163</v>
      </c>
      <c r="B166" s="5" t="s">
        <v>18</v>
      </c>
      <c r="C166" s="5" t="s">
        <v>241</v>
      </c>
      <c r="D166" s="5" t="s">
        <v>131</v>
      </c>
      <c r="E166" s="12">
        <f>39600/18*9</f>
        <v>19800</v>
      </c>
      <c r="F166" s="13">
        <v>2</v>
      </c>
      <c r="G166" s="12">
        <f t="shared" si="5"/>
        <v>39600</v>
      </c>
      <c r="H166" s="14">
        <v>0.5</v>
      </c>
      <c r="I166" s="12">
        <f t="shared" si="6"/>
        <v>19800</v>
      </c>
      <c r="J166" s="20"/>
      <c r="K166" s="15"/>
      <c r="L166" s="15"/>
      <c r="M166" s="15"/>
      <c r="N166" s="15"/>
      <c r="O166" s="15"/>
      <c r="P166" s="15"/>
      <c r="Q166" s="15"/>
      <c r="R166" s="15"/>
      <c r="S166" s="15"/>
    </row>
    <row r="167" ht="15" customHeight="true" spans="1:19">
      <c r="A167" s="5">
        <v>164</v>
      </c>
      <c r="B167" s="5" t="s">
        <v>23</v>
      </c>
      <c r="C167" s="5" t="s">
        <v>147</v>
      </c>
      <c r="D167" s="5" t="s">
        <v>15</v>
      </c>
      <c r="E167" s="12">
        <f>101920/10</f>
        <v>10192</v>
      </c>
      <c r="F167" s="13">
        <v>2</v>
      </c>
      <c r="G167" s="12">
        <f t="shared" si="5"/>
        <v>20384</v>
      </c>
      <c r="H167" s="14">
        <v>0.5</v>
      </c>
      <c r="I167" s="12">
        <f t="shared" si="6"/>
        <v>10100</v>
      </c>
      <c r="J167" s="20" t="s">
        <v>417</v>
      </c>
      <c r="K167" s="15"/>
      <c r="L167" s="15" t="s">
        <v>418</v>
      </c>
      <c r="M167" s="15"/>
      <c r="N167" s="15"/>
      <c r="O167" s="15"/>
      <c r="P167" s="15"/>
      <c r="Q167" s="15"/>
      <c r="R167" s="15"/>
      <c r="S167" s="15"/>
    </row>
    <row r="168" ht="15" customHeight="true" spans="1:19">
      <c r="A168" s="5">
        <v>165</v>
      </c>
      <c r="B168" s="5" t="s">
        <v>13</v>
      </c>
      <c r="C168" s="5" t="s">
        <v>419</v>
      </c>
      <c r="D168" s="5" t="s">
        <v>131</v>
      </c>
      <c r="E168" s="12">
        <f>9*1600</f>
        <v>14400</v>
      </c>
      <c r="F168" s="13">
        <v>1</v>
      </c>
      <c r="G168" s="12">
        <f t="shared" si="5"/>
        <v>14400</v>
      </c>
      <c r="H168" s="14">
        <v>0.5</v>
      </c>
      <c r="I168" s="12">
        <f t="shared" si="6"/>
        <v>7200</v>
      </c>
      <c r="J168" s="20"/>
      <c r="K168" s="15"/>
      <c r="L168" s="15"/>
      <c r="M168" s="15"/>
      <c r="N168" s="15"/>
      <c r="O168" s="15"/>
      <c r="P168" s="15"/>
      <c r="Q168" s="15"/>
      <c r="R168" s="15"/>
      <c r="S168" s="15"/>
    </row>
    <row r="169" ht="15" customHeight="true" spans="1:19">
      <c r="A169" s="5">
        <v>166</v>
      </c>
      <c r="B169" s="5" t="s">
        <v>61</v>
      </c>
      <c r="C169" s="5" t="s">
        <v>420</v>
      </c>
      <c r="D169" s="5" t="s">
        <v>131</v>
      </c>
      <c r="E169" s="12">
        <v>19800</v>
      </c>
      <c r="F169" s="13">
        <v>1</v>
      </c>
      <c r="G169" s="12">
        <f t="shared" si="5"/>
        <v>19800</v>
      </c>
      <c r="H169" s="14">
        <v>0.5</v>
      </c>
      <c r="I169" s="12">
        <f t="shared" si="6"/>
        <v>9900</v>
      </c>
      <c r="J169" s="20"/>
      <c r="K169" s="15"/>
      <c r="L169" s="15"/>
      <c r="M169" s="15"/>
      <c r="N169" s="15"/>
      <c r="O169" s="15"/>
      <c r="P169" s="15"/>
      <c r="Q169" s="15"/>
      <c r="R169" s="15"/>
      <c r="S169" s="15"/>
    </row>
    <row r="170" ht="15" customHeight="true" spans="1:19">
      <c r="A170" s="5">
        <v>167</v>
      </c>
      <c r="B170" s="5" t="s">
        <v>18</v>
      </c>
      <c r="C170" s="5" t="s">
        <v>220</v>
      </c>
      <c r="D170" s="5" t="s">
        <v>131</v>
      </c>
      <c r="E170" s="12">
        <f>39600/18*9</f>
        <v>19800</v>
      </c>
      <c r="F170" s="13">
        <v>2</v>
      </c>
      <c r="G170" s="12">
        <f t="shared" si="5"/>
        <v>39600</v>
      </c>
      <c r="H170" s="14">
        <v>0.5</v>
      </c>
      <c r="I170" s="12">
        <f t="shared" si="6"/>
        <v>19800</v>
      </c>
      <c r="J170" s="20"/>
      <c r="K170" s="15"/>
      <c r="L170" s="15"/>
      <c r="M170" s="15"/>
      <c r="N170" s="15"/>
      <c r="O170" s="15"/>
      <c r="P170" s="15"/>
      <c r="Q170" s="15"/>
      <c r="R170" s="15"/>
      <c r="S170" s="15"/>
    </row>
    <row r="171" ht="15" customHeight="true" spans="1:19">
      <c r="A171" s="5">
        <v>168</v>
      </c>
      <c r="B171" s="5" t="s">
        <v>51</v>
      </c>
      <c r="C171" s="5" t="s">
        <v>142</v>
      </c>
      <c r="D171" s="5" t="s">
        <v>131</v>
      </c>
      <c r="E171" s="12">
        <f>39600/18*9</f>
        <v>19800</v>
      </c>
      <c r="F171" s="13">
        <v>2</v>
      </c>
      <c r="G171" s="12">
        <f t="shared" si="5"/>
        <v>39600</v>
      </c>
      <c r="H171" s="14">
        <v>0.5</v>
      </c>
      <c r="I171" s="12">
        <f t="shared" si="6"/>
        <v>19800</v>
      </c>
      <c r="J171" s="20"/>
      <c r="K171" s="15"/>
      <c r="L171" s="15"/>
      <c r="M171" s="15"/>
      <c r="N171" s="15"/>
      <c r="O171" s="15"/>
      <c r="P171" s="15"/>
      <c r="Q171" s="15"/>
      <c r="R171" s="15"/>
      <c r="S171" s="15"/>
    </row>
    <row r="172" ht="15" customHeight="true" spans="1:19">
      <c r="A172" s="5">
        <v>169</v>
      </c>
      <c r="B172" s="5" t="s">
        <v>51</v>
      </c>
      <c r="C172" s="5" t="s">
        <v>142</v>
      </c>
      <c r="D172" s="5" t="s">
        <v>338</v>
      </c>
      <c r="E172" s="12">
        <f>87900/36*9</f>
        <v>21975</v>
      </c>
      <c r="F172" s="13">
        <v>2</v>
      </c>
      <c r="G172" s="12">
        <f t="shared" si="5"/>
        <v>43950</v>
      </c>
      <c r="H172" s="14">
        <v>0.5</v>
      </c>
      <c r="I172" s="12">
        <f t="shared" si="6"/>
        <v>21900</v>
      </c>
      <c r="J172" s="20"/>
      <c r="K172" s="15"/>
      <c r="L172" s="15"/>
      <c r="M172" s="15"/>
      <c r="N172" s="15"/>
      <c r="O172" s="15"/>
      <c r="P172" s="15"/>
      <c r="Q172" s="15"/>
      <c r="R172" s="15"/>
      <c r="S172" s="15"/>
    </row>
    <row r="173" ht="15" customHeight="true" spans="1:19">
      <c r="A173" s="5">
        <v>170</v>
      </c>
      <c r="B173" s="5" t="s">
        <v>18</v>
      </c>
      <c r="C173" s="5" t="s">
        <v>219</v>
      </c>
      <c r="D173" s="5" t="s">
        <v>131</v>
      </c>
      <c r="E173" s="12">
        <f>39600/18*9</f>
        <v>19800</v>
      </c>
      <c r="F173" s="13">
        <v>2</v>
      </c>
      <c r="G173" s="12">
        <f t="shared" si="5"/>
        <v>39600</v>
      </c>
      <c r="H173" s="14">
        <v>0.5</v>
      </c>
      <c r="I173" s="12">
        <f t="shared" si="6"/>
        <v>19800</v>
      </c>
      <c r="J173" s="20"/>
      <c r="K173" s="15"/>
      <c r="L173" s="15"/>
      <c r="M173" s="15"/>
      <c r="N173" s="15"/>
      <c r="O173" s="15"/>
      <c r="P173" s="15"/>
      <c r="Q173" s="15"/>
      <c r="R173" s="15"/>
      <c r="S173" s="15"/>
    </row>
    <row r="174" ht="15" customHeight="true" spans="1:19">
      <c r="A174" s="5">
        <v>171</v>
      </c>
      <c r="B174" s="5" t="s">
        <v>18</v>
      </c>
      <c r="C174" s="5" t="s">
        <v>219</v>
      </c>
      <c r="D174" s="5" t="s">
        <v>338</v>
      </c>
      <c r="E174" s="12">
        <f>(89400-1500)/36*9</f>
        <v>21975</v>
      </c>
      <c r="F174" s="13">
        <v>2</v>
      </c>
      <c r="G174" s="12">
        <f t="shared" si="5"/>
        <v>43950</v>
      </c>
      <c r="H174" s="14">
        <v>0.5</v>
      </c>
      <c r="I174" s="12">
        <f t="shared" si="6"/>
        <v>21900</v>
      </c>
      <c r="J174" s="20"/>
      <c r="K174" s="15"/>
      <c r="L174" s="15"/>
      <c r="M174" s="15"/>
      <c r="N174" s="15"/>
      <c r="O174" s="15"/>
      <c r="P174" s="15"/>
      <c r="Q174" s="15"/>
      <c r="R174" s="15"/>
      <c r="S174" s="15"/>
    </row>
    <row r="175" ht="15" customHeight="true" spans="1:19">
      <c r="A175" s="5">
        <v>172</v>
      </c>
      <c r="B175" s="5" t="s">
        <v>98</v>
      </c>
      <c r="C175" s="5" t="s">
        <v>221</v>
      </c>
      <c r="D175" s="5" t="s">
        <v>131</v>
      </c>
      <c r="E175" s="12">
        <f>39600/18*9</f>
        <v>19800</v>
      </c>
      <c r="F175" s="13">
        <v>2</v>
      </c>
      <c r="G175" s="12">
        <f t="shared" si="5"/>
        <v>39600</v>
      </c>
      <c r="H175" s="14">
        <v>0.5</v>
      </c>
      <c r="I175" s="12">
        <f t="shared" si="6"/>
        <v>19800</v>
      </c>
      <c r="J175" s="20"/>
      <c r="K175" s="15"/>
      <c r="L175" s="15"/>
      <c r="M175" s="15"/>
      <c r="N175" s="15"/>
      <c r="O175" s="15"/>
      <c r="P175" s="15"/>
      <c r="Q175" s="15"/>
      <c r="R175" s="15"/>
      <c r="S175" s="15"/>
    </row>
    <row r="176" ht="15" customHeight="true" spans="1:19">
      <c r="A176" s="5">
        <v>173</v>
      </c>
      <c r="B176" s="5" t="s">
        <v>112</v>
      </c>
      <c r="C176" s="5" t="s">
        <v>239</v>
      </c>
      <c r="D176" s="5" t="s">
        <v>131</v>
      </c>
      <c r="E176" s="12">
        <f>39600/18*9</f>
        <v>19800</v>
      </c>
      <c r="F176" s="13">
        <v>2</v>
      </c>
      <c r="G176" s="12">
        <f t="shared" si="5"/>
        <v>39600</v>
      </c>
      <c r="H176" s="14">
        <v>0.5</v>
      </c>
      <c r="I176" s="12">
        <f t="shared" si="6"/>
        <v>19800</v>
      </c>
      <c r="J176" s="20"/>
      <c r="K176" s="15"/>
      <c r="L176" s="15"/>
      <c r="M176" s="15"/>
      <c r="N176" s="15"/>
      <c r="O176" s="15"/>
      <c r="P176" s="15"/>
      <c r="Q176" s="15"/>
      <c r="R176" s="15"/>
      <c r="S176" s="15"/>
    </row>
    <row r="177" ht="15" customHeight="true" spans="1:19">
      <c r="A177" s="5">
        <v>174</v>
      </c>
      <c r="B177" s="5" t="s">
        <v>23</v>
      </c>
      <c r="C177" s="5" t="s">
        <v>421</v>
      </c>
      <c r="D177" s="5" t="s">
        <v>131</v>
      </c>
      <c r="E177" s="12">
        <f>39600/18*9</f>
        <v>19800</v>
      </c>
      <c r="F177" s="13">
        <v>2</v>
      </c>
      <c r="G177" s="12">
        <f t="shared" si="5"/>
        <v>39600</v>
      </c>
      <c r="H177" s="14">
        <v>0.5</v>
      </c>
      <c r="I177" s="12">
        <f t="shared" si="6"/>
        <v>19800</v>
      </c>
      <c r="J177" s="20" t="s">
        <v>422</v>
      </c>
      <c r="K177" s="15"/>
      <c r="L177" s="15"/>
      <c r="M177" s="15"/>
      <c r="N177" s="15"/>
      <c r="O177" s="15"/>
      <c r="P177" s="15"/>
      <c r="Q177" s="15"/>
      <c r="R177" s="15"/>
      <c r="S177" s="15"/>
    </row>
    <row r="178" ht="15" customHeight="true" spans="1:19">
      <c r="A178" s="5">
        <v>175</v>
      </c>
      <c r="B178" s="5" t="s">
        <v>28</v>
      </c>
      <c r="C178" s="5" t="s">
        <v>158</v>
      </c>
      <c r="D178" s="5" t="s">
        <v>44</v>
      </c>
      <c r="E178" s="12">
        <f>26100/27*9</f>
        <v>8700</v>
      </c>
      <c r="F178" s="13">
        <v>2</v>
      </c>
      <c r="G178" s="12">
        <f t="shared" si="5"/>
        <v>17400</v>
      </c>
      <c r="H178" s="14">
        <v>0.5</v>
      </c>
      <c r="I178" s="12">
        <f t="shared" si="6"/>
        <v>8700</v>
      </c>
      <c r="J178" s="20" t="s">
        <v>423</v>
      </c>
      <c r="K178" s="15"/>
      <c r="L178" s="15"/>
      <c r="M178" s="15"/>
      <c r="N178" s="15"/>
      <c r="O178" s="15"/>
      <c r="P178" s="15"/>
      <c r="Q178" s="15"/>
      <c r="R178" s="15"/>
      <c r="S178" s="15"/>
    </row>
    <row r="179" ht="15" customHeight="true" spans="1:19">
      <c r="A179" s="5">
        <v>176</v>
      </c>
      <c r="B179" s="5" t="s">
        <v>18</v>
      </c>
      <c r="C179" s="5" t="s">
        <v>50</v>
      </c>
      <c r="D179" s="5" t="s">
        <v>20</v>
      </c>
      <c r="E179" s="12">
        <f>48000*1.06/4</f>
        <v>12720</v>
      </c>
      <c r="F179" s="13">
        <v>2</v>
      </c>
      <c r="G179" s="12">
        <f t="shared" si="5"/>
        <v>25440</v>
      </c>
      <c r="H179" s="14">
        <v>0.5</v>
      </c>
      <c r="I179" s="12">
        <f t="shared" si="6"/>
        <v>12700</v>
      </c>
      <c r="J179" s="20"/>
      <c r="K179" s="15"/>
      <c r="L179" s="15"/>
      <c r="M179" s="15"/>
      <c r="N179" s="15"/>
      <c r="O179" s="15"/>
      <c r="P179" s="15"/>
      <c r="Q179" s="15"/>
      <c r="R179" s="15"/>
      <c r="S179" s="15"/>
    </row>
    <row r="180" ht="15" customHeight="true" spans="1:19">
      <c r="A180" s="5">
        <v>177</v>
      </c>
      <c r="B180" s="5" t="s">
        <v>13</v>
      </c>
      <c r="C180" s="5" t="s">
        <v>119</v>
      </c>
      <c r="D180" s="5" t="s">
        <v>15</v>
      </c>
      <c r="E180" s="12">
        <f>41600/4</f>
        <v>10400</v>
      </c>
      <c r="F180" s="13">
        <v>2</v>
      </c>
      <c r="G180" s="12">
        <f t="shared" si="5"/>
        <v>20800</v>
      </c>
      <c r="H180" s="14">
        <v>0.5</v>
      </c>
      <c r="I180" s="12">
        <f t="shared" si="6"/>
        <v>10400</v>
      </c>
      <c r="J180" s="20" t="s">
        <v>424</v>
      </c>
      <c r="K180" s="15"/>
      <c r="L180" s="15"/>
      <c r="M180" s="15"/>
      <c r="N180" s="15"/>
      <c r="O180" s="15"/>
      <c r="P180" s="15"/>
      <c r="Q180" s="15"/>
      <c r="R180" s="15"/>
      <c r="S180" s="15"/>
    </row>
    <row r="181" ht="15" customHeight="true" spans="1:19">
      <c r="A181" s="5">
        <v>178</v>
      </c>
      <c r="B181" s="5" t="s">
        <v>23</v>
      </c>
      <c r="C181" s="5" t="s">
        <v>425</v>
      </c>
      <c r="D181" s="5" t="s">
        <v>382</v>
      </c>
      <c r="E181" s="12">
        <v>10000</v>
      </c>
      <c r="F181" s="13">
        <v>1</v>
      </c>
      <c r="G181" s="12">
        <f t="shared" si="5"/>
        <v>10000</v>
      </c>
      <c r="H181" s="14">
        <v>0.5</v>
      </c>
      <c r="I181" s="12">
        <f t="shared" si="6"/>
        <v>5000</v>
      </c>
      <c r="J181" s="20"/>
      <c r="K181" s="15"/>
      <c r="L181" s="15"/>
      <c r="M181" s="15"/>
      <c r="N181" s="15"/>
      <c r="O181" s="15"/>
      <c r="P181" s="15"/>
      <c r="Q181" s="15"/>
      <c r="R181" s="15"/>
      <c r="S181" s="15"/>
    </row>
    <row r="182" ht="15" customHeight="true" spans="1:19">
      <c r="A182" s="5">
        <v>179</v>
      </c>
      <c r="B182" s="5" t="s">
        <v>67</v>
      </c>
      <c r="C182" s="5" t="s">
        <v>426</v>
      </c>
      <c r="D182" s="5" t="s">
        <v>347</v>
      </c>
      <c r="E182" s="12">
        <f>60000/229*9</f>
        <v>2358.07860262009</v>
      </c>
      <c r="F182" s="13">
        <v>2</v>
      </c>
      <c r="G182" s="12">
        <f t="shared" si="5"/>
        <v>4716.15720524017</v>
      </c>
      <c r="H182" s="14">
        <v>0.5</v>
      </c>
      <c r="I182" s="12">
        <f t="shared" si="6"/>
        <v>2300</v>
      </c>
      <c r="J182" s="20"/>
      <c r="K182" s="15"/>
      <c r="L182" s="15"/>
      <c r="M182" s="15"/>
      <c r="N182" s="15"/>
      <c r="O182" s="15"/>
      <c r="P182" s="15"/>
      <c r="Q182" s="15"/>
      <c r="R182" s="15"/>
      <c r="S182" s="15"/>
    </row>
    <row r="183" ht="15" customHeight="true" spans="1:19">
      <c r="A183" s="5">
        <v>180</v>
      </c>
      <c r="B183" s="5" t="s">
        <v>28</v>
      </c>
      <c r="C183" s="5" t="s">
        <v>223</v>
      </c>
      <c r="D183" s="5" t="s">
        <v>44</v>
      </c>
      <c r="E183" s="12">
        <f>51750/30*9</f>
        <v>15525</v>
      </c>
      <c r="F183" s="13">
        <v>2</v>
      </c>
      <c r="G183" s="12">
        <f t="shared" si="5"/>
        <v>31050</v>
      </c>
      <c r="H183" s="14">
        <v>0.5</v>
      </c>
      <c r="I183" s="12">
        <f t="shared" si="6"/>
        <v>15500</v>
      </c>
      <c r="J183" s="20"/>
      <c r="K183" s="15"/>
      <c r="L183" s="15"/>
      <c r="M183" s="15"/>
      <c r="N183" s="15"/>
      <c r="O183" s="15"/>
      <c r="P183" s="15"/>
      <c r="Q183" s="15"/>
      <c r="R183" s="15"/>
      <c r="S183" s="15"/>
    </row>
    <row r="184" ht="15" customHeight="true" spans="1:19">
      <c r="A184" s="5">
        <v>181</v>
      </c>
      <c r="B184" s="5" t="s">
        <v>28</v>
      </c>
      <c r="C184" s="5" t="s">
        <v>199</v>
      </c>
      <c r="D184" s="5" t="s">
        <v>44</v>
      </c>
      <c r="E184" s="12">
        <f>110400/64*9</f>
        <v>15525</v>
      </c>
      <c r="F184" s="13">
        <v>2</v>
      </c>
      <c r="G184" s="12">
        <f t="shared" si="5"/>
        <v>31050</v>
      </c>
      <c r="H184" s="14">
        <v>0.5</v>
      </c>
      <c r="I184" s="12">
        <f t="shared" si="6"/>
        <v>15500</v>
      </c>
      <c r="J184" s="20"/>
      <c r="K184" s="15"/>
      <c r="L184" s="15"/>
      <c r="M184" s="15"/>
      <c r="N184" s="15"/>
      <c r="O184" s="15"/>
      <c r="P184" s="15"/>
      <c r="Q184" s="15"/>
      <c r="R184" s="15"/>
      <c r="S184" s="15"/>
    </row>
    <row r="185" ht="15" customHeight="true" spans="1:19">
      <c r="A185" s="5">
        <v>182</v>
      </c>
      <c r="B185" s="5" t="s">
        <v>28</v>
      </c>
      <c r="C185" s="5" t="s">
        <v>311</v>
      </c>
      <c r="D185" s="5" t="s">
        <v>44</v>
      </c>
      <c r="E185" s="12">
        <f>62100/36*9</f>
        <v>15525</v>
      </c>
      <c r="F185" s="13">
        <v>2</v>
      </c>
      <c r="G185" s="12">
        <f t="shared" si="5"/>
        <v>31050</v>
      </c>
      <c r="H185" s="14">
        <v>0.5</v>
      </c>
      <c r="I185" s="12">
        <f t="shared" si="6"/>
        <v>15500</v>
      </c>
      <c r="J185" s="20"/>
      <c r="K185" s="15"/>
      <c r="L185" s="15"/>
      <c r="M185" s="15"/>
      <c r="N185" s="15"/>
      <c r="O185" s="15"/>
      <c r="P185" s="15"/>
      <c r="Q185" s="15"/>
      <c r="R185" s="15"/>
      <c r="S185" s="15"/>
    </row>
    <row r="186" ht="15" customHeight="true" spans="1:19">
      <c r="A186" s="5">
        <v>183</v>
      </c>
      <c r="B186" s="5" t="s">
        <v>28</v>
      </c>
      <c r="C186" s="5" t="s">
        <v>215</v>
      </c>
      <c r="D186" s="5" t="s">
        <v>44</v>
      </c>
      <c r="E186" s="12">
        <f>41400/24*9</f>
        <v>15525</v>
      </c>
      <c r="F186" s="13">
        <v>2</v>
      </c>
      <c r="G186" s="12">
        <f t="shared" si="5"/>
        <v>31050</v>
      </c>
      <c r="H186" s="14">
        <v>0.5</v>
      </c>
      <c r="I186" s="12">
        <f t="shared" si="6"/>
        <v>15500</v>
      </c>
      <c r="J186" s="20"/>
      <c r="K186" s="15"/>
      <c r="L186" s="15"/>
      <c r="M186" s="15"/>
      <c r="N186" s="15"/>
      <c r="O186" s="15"/>
      <c r="P186" s="15"/>
      <c r="Q186" s="15"/>
      <c r="R186" s="15"/>
      <c r="S186" s="15"/>
    </row>
    <row r="187" ht="15" customHeight="true" spans="1:19">
      <c r="A187" s="5">
        <v>184</v>
      </c>
      <c r="B187" s="5" t="s">
        <v>28</v>
      </c>
      <c r="C187" s="5" t="s">
        <v>427</v>
      </c>
      <c r="D187" s="5" t="s">
        <v>44</v>
      </c>
      <c r="E187" s="12">
        <f>34500/20*9</f>
        <v>15525</v>
      </c>
      <c r="F187" s="13">
        <v>2</v>
      </c>
      <c r="G187" s="12">
        <f t="shared" si="5"/>
        <v>31050</v>
      </c>
      <c r="H187" s="14">
        <v>0.5</v>
      </c>
      <c r="I187" s="12">
        <f t="shared" si="6"/>
        <v>15500</v>
      </c>
      <c r="J187" s="20"/>
      <c r="K187" s="15"/>
      <c r="L187" s="15"/>
      <c r="M187" s="15"/>
      <c r="N187" s="15"/>
      <c r="O187" s="15"/>
      <c r="P187" s="15"/>
      <c r="Q187" s="15"/>
      <c r="R187" s="15"/>
      <c r="S187" s="15"/>
    </row>
    <row r="188" ht="15" customHeight="true" spans="1:19">
      <c r="A188" s="5">
        <v>185</v>
      </c>
      <c r="B188" s="5" t="s">
        <v>67</v>
      </c>
      <c r="C188" s="5" t="s">
        <v>207</v>
      </c>
      <c r="D188" s="5" t="s">
        <v>44</v>
      </c>
      <c r="E188" s="12">
        <f>69000/40*9</f>
        <v>15525</v>
      </c>
      <c r="F188" s="13">
        <v>2</v>
      </c>
      <c r="G188" s="12">
        <f t="shared" si="5"/>
        <v>31050</v>
      </c>
      <c r="H188" s="14">
        <v>0.5</v>
      </c>
      <c r="I188" s="12">
        <f t="shared" si="6"/>
        <v>15500</v>
      </c>
      <c r="J188" s="20"/>
      <c r="K188" s="15"/>
      <c r="L188" s="15"/>
      <c r="M188" s="15"/>
      <c r="N188" s="15"/>
      <c r="O188" s="15"/>
      <c r="P188" s="15"/>
      <c r="Q188" s="15"/>
      <c r="R188" s="15"/>
      <c r="S188" s="15"/>
    </row>
    <row r="189" ht="15" customHeight="true" spans="1:19">
      <c r="A189" s="5">
        <v>186</v>
      </c>
      <c r="B189" s="5" t="s">
        <v>28</v>
      </c>
      <c r="C189" s="5" t="s">
        <v>428</v>
      </c>
      <c r="D189" s="5" t="s">
        <v>44</v>
      </c>
      <c r="E189" s="12">
        <f>20700/12*9</f>
        <v>15525</v>
      </c>
      <c r="F189" s="13">
        <v>1</v>
      </c>
      <c r="G189" s="12">
        <f t="shared" si="5"/>
        <v>15525</v>
      </c>
      <c r="H189" s="14">
        <v>0.5</v>
      </c>
      <c r="I189" s="12">
        <f t="shared" si="6"/>
        <v>7700</v>
      </c>
      <c r="J189" s="20"/>
      <c r="K189" s="15"/>
      <c r="L189" s="15"/>
      <c r="M189" s="15"/>
      <c r="N189" s="15"/>
      <c r="O189" s="15"/>
      <c r="P189" s="15"/>
      <c r="Q189" s="15"/>
      <c r="R189" s="15"/>
      <c r="S189" s="15"/>
    </row>
    <row r="190" ht="15" customHeight="true" spans="1:19">
      <c r="A190" s="5">
        <v>187</v>
      </c>
      <c r="B190" s="5" t="s">
        <v>28</v>
      </c>
      <c r="C190" s="5" t="s">
        <v>304</v>
      </c>
      <c r="D190" s="5" t="s">
        <v>44</v>
      </c>
      <c r="E190" s="12">
        <f>27360/18*9</f>
        <v>13680</v>
      </c>
      <c r="F190" s="13">
        <v>2</v>
      </c>
      <c r="G190" s="12">
        <f t="shared" si="5"/>
        <v>27360</v>
      </c>
      <c r="H190" s="14">
        <v>0.5</v>
      </c>
      <c r="I190" s="12">
        <f t="shared" si="6"/>
        <v>13600</v>
      </c>
      <c r="J190" s="20" t="s">
        <v>423</v>
      </c>
      <c r="K190" s="15"/>
      <c r="L190" s="15"/>
      <c r="M190" s="15"/>
      <c r="N190" s="15"/>
      <c r="O190" s="15"/>
      <c r="P190" s="15"/>
      <c r="Q190" s="15"/>
      <c r="R190" s="15"/>
      <c r="S190" s="15"/>
    </row>
    <row r="191" ht="15" customHeight="true" spans="1:19">
      <c r="A191" s="5">
        <v>188</v>
      </c>
      <c r="B191" s="5" t="s">
        <v>28</v>
      </c>
      <c r="C191" s="5" t="s">
        <v>204</v>
      </c>
      <c r="D191" s="5" t="s">
        <v>44</v>
      </c>
      <c r="E191" s="12">
        <f>34500/20*9</f>
        <v>15525</v>
      </c>
      <c r="F191" s="13">
        <v>2</v>
      </c>
      <c r="G191" s="12">
        <f t="shared" si="5"/>
        <v>31050</v>
      </c>
      <c r="H191" s="14">
        <v>0.5</v>
      </c>
      <c r="I191" s="12">
        <f t="shared" si="6"/>
        <v>15500</v>
      </c>
      <c r="J191" s="20"/>
      <c r="K191" s="15"/>
      <c r="L191" s="15"/>
      <c r="M191" s="15"/>
      <c r="N191" s="15"/>
      <c r="O191" s="15"/>
      <c r="P191" s="15"/>
      <c r="Q191" s="15"/>
      <c r="R191" s="15"/>
      <c r="S191" s="15"/>
    </row>
    <row r="192" ht="15" customHeight="true" spans="1:19">
      <c r="A192" s="5">
        <v>189</v>
      </c>
      <c r="B192" s="5" t="s">
        <v>28</v>
      </c>
      <c r="C192" s="5" t="s">
        <v>49</v>
      </c>
      <c r="D192" s="5" t="s">
        <v>44</v>
      </c>
      <c r="E192" s="12">
        <f>27600/16*9</f>
        <v>15525</v>
      </c>
      <c r="F192" s="13">
        <v>1</v>
      </c>
      <c r="G192" s="12">
        <f t="shared" si="5"/>
        <v>15525</v>
      </c>
      <c r="H192" s="14">
        <v>0.5</v>
      </c>
      <c r="I192" s="12">
        <f t="shared" si="6"/>
        <v>7700</v>
      </c>
      <c r="J192" s="20"/>
      <c r="K192" s="15"/>
      <c r="L192" s="15"/>
      <c r="M192" s="15"/>
      <c r="N192" s="15"/>
      <c r="O192" s="15"/>
      <c r="P192" s="15"/>
      <c r="Q192" s="15"/>
      <c r="R192" s="15"/>
      <c r="S192" s="15"/>
    </row>
    <row r="193" ht="15" customHeight="true" spans="1:19">
      <c r="A193" s="5">
        <v>190</v>
      </c>
      <c r="B193" s="5" t="s">
        <v>67</v>
      </c>
      <c r="C193" s="5" t="s">
        <v>429</v>
      </c>
      <c r="D193" s="5" t="s">
        <v>44</v>
      </c>
      <c r="E193" s="12">
        <f>69000/40*9</f>
        <v>15525</v>
      </c>
      <c r="F193" s="13">
        <v>2</v>
      </c>
      <c r="G193" s="12">
        <f t="shared" si="5"/>
        <v>31050</v>
      </c>
      <c r="H193" s="14">
        <v>0.5</v>
      </c>
      <c r="I193" s="12">
        <f t="shared" si="6"/>
        <v>15500</v>
      </c>
      <c r="J193" s="20"/>
      <c r="K193" s="15"/>
      <c r="L193" s="15"/>
      <c r="M193" s="15"/>
      <c r="N193" s="15"/>
      <c r="O193" s="15"/>
      <c r="P193" s="15"/>
      <c r="Q193" s="15"/>
      <c r="R193" s="15"/>
      <c r="S193" s="15"/>
    </row>
    <row r="194" ht="15" customHeight="true" spans="1:19">
      <c r="A194" s="5">
        <v>191</v>
      </c>
      <c r="B194" s="5" t="s">
        <v>28</v>
      </c>
      <c r="C194" s="5" t="s">
        <v>209</v>
      </c>
      <c r="D194" s="5" t="s">
        <v>44</v>
      </c>
      <c r="E194" s="12">
        <f>48300/28*9</f>
        <v>15525</v>
      </c>
      <c r="F194" s="13">
        <v>2</v>
      </c>
      <c r="G194" s="12">
        <f t="shared" si="5"/>
        <v>31050</v>
      </c>
      <c r="H194" s="14">
        <v>0.5</v>
      </c>
      <c r="I194" s="12">
        <f t="shared" si="6"/>
        <v>15500</v>
      </c>
      <c r="J194" s="20"/>
      <c r="K194" s="15"/>
      <c r="L194" s="15"/>
      <c r="M194" s="15"/>
      <c r="N194" s="15"/>
      <c r="O194" s="15"/>
      <c r="P194" s="15"/>
      <c r="Q194" s="15"/>
      <c r="R194" s="15"/>
      <c r="S194" s="15"/>
    </row>
    <row r="195" ht="15" customHeight="true" spans="1:19">
      <c r="A195" s="5">
        <v>192</v>
      </c>
      <c r="B195" s="5" t="s">
        <v>28</v>
      </c>
      <c r="C195" s="5" t="s">
        <v>203</v>
      </c>
      <c r="D195" s="5" t="s">
        <v>44</v>
      </c>
      <c r="E195" s="12">
        <f>25875/15*9</f>
        <v>15525</v>
      </c>
      <c r="F195" s="13">
        <v>1</v>
      </c>
      <c r="G195" s="12">
        <f t="shared" si="5"/>
        <v>15525</v>
      </c>
      <c r="H195" s="14">
        <v>0.5</v>
      </c>
      <c r="I195" s="12">
        <f t="shared" si="6"/>
        <v>7700</v>
      </c>
      <c r="J195" s="20" t="s">
        <v>430</v>
      </c>
      <c r="K195" s="15"/>
      <c r="L195" s="15"/>
      <c r="M195" s="15"/>
      <c r="N195" s="15"/>
      <c r="O195" s="15"/>
      <c r="P195" s="15"/>
      <c r="Q195" s="15"/>
      <c r="R195" s="15"/>
      <c r="S195" s="15"/>
    </row>
    <row r="196" ht="15" customHeight="true" spans="1:19">
      <c r="A196" s="5">
        <v>193</v>
      </c>
      <c r="B196" s="5" t="s">
        <v>28</v>
      </c>
      <c r="C196" s="5" t="s">
        <v>307</v>
      </c>
      <c r="D196" s="5" t="s">
        <v>44</v>
      </c>
      <c r="E196" s="12">
        <f>34500/20*9</f>
        <v>15525</v>
      </c>
      <c r="F196" s="13">
        <v>2</v>
      </c>
      <c r="G196" s="12">
        <f t="shared" ref="G196:G254" si="7">E196*F196</f>
        <v>31050</v>
      </c>
      <c r="H196" s="14">
        <v>0.5</v>
      </c>
      <c r="I196" s="12">
        <f t="shared" ref="I196:I254" si="8">ROUNDDOWN(G196*H196,-2)</f>
        <v>15500</v>
      </c>
      <c r="J196" s="20" t="s">
        <v>430</v>
      </c>
      <c r="K196" s="15"/>
      <c r="L196" s="15"/>
      <c r="M196" s="15"/>
      <c r="N196" s="15"/>
      <c r="O196" s="15"/>
      <c r="P196" s="15"/>
      <c r="Q196" s="15"/>
      <c r="R196" s="15"/>
      <c r="S196" s="15"/>
    </row>
    <row r="197" ht="15" customHeight="true" spans="1:19">
      <c r="A197" s="5">
        <v>194</v>
      </c>
      <c r="B197" s="5" t="s">
        <v>28</v>
      </c>
      <c r="C197" s="5" t="s">
        <v>431</v>
      </c>
      <c r="D197" s="5" t="s">
        <v>44</v>
      </c>
      <c r="E197" s="12">
        <f>28800/18*9</f>
        <v>14400</v>
      </c>
      <c r="F197" s="13">
        <v>2</v>
      </c>
      <c r="G197" s="12">
        <f t="shared" si="7"/>
        <v>28800</v>
      </c>
      <c r="H197" s="14">
        <v>0.5</v>
      </c>
      <c r="I197" s="12">
        <f t="shared" si="8"/>
        <v>14400</v>
      </c>
      <c r="J197" s="20" t="s">
        <v>423</v>
      </c>
      <c r="K197" s="15"/>
      <c r="L197" s="15"/>
      <c r="M197" s="15"/>
      <c r="N197" s="15"/>
      <c r="O197" s="15"/>
      <c r="P197" s="15"/>
      <c r="Q197" s="15"/>
      <c r="R197" s="15"/>
      <c r="S197" s="15"/>
    </row>
    <row r="198" ht="15" customHeight="true" spans="1:19">
      <c r="A198" s="5">
        <v>195</v>
      </c>
      <c r="B198" s="5" t="s">
        <v>13</v>
      </c>
      <c r="C198" s="5" t="s">
        <v>157</v>
      </c>
      <c r="D198" s="5" t="s">
        <v>20</v>
      </c>
      <c r="E198" s="12">
        <f>83952/36*9</f>
        <v>20988</v>
      </c>
      <c r="F198" s="13">
        <v>2</v>
      </c>
      <c r="G198" s="12">
        <f t="shared" si="7"/>
        <v>41976</v>
      </c>
      <c r="H198" s="14">
        <v>0.5</v>
      </c>
      <c r="I198" s="12">
        <f t="shared" si="8"/>
        <v>20900</v>
      </c>
      <c r="J198" s="20"/>
      <c r="K198" s="15"/>
      <c r="L198" s="15"/>
      <c r="M198" s="15"/>
      <c r="N198" s="15"/>
      <c r="O198" s="15"/>
      <c r="P198" s="15"/>
      <c r="Q198" s="15"/>
      <c r="R198" s="15"/>
      <c r="S198" s="15"/>
    </row>
    <row r="199" ht="15" customHeight="true" spans="1:19">
      <c r="A199" s="5">
        <v>196</v>
      </c>
      <c r="B199" s="5" t="s">
        <v>28</v>
      </c>
      <c r="C199" s="5" t="s">
        <v>432</v>
      </c>
      <c r="D199" s="5" t="s">
        <v>15</v>
      </c>
      <c r="E199" s="12">
        <f>62400/6</f>
        <v>10400</v>
      </c>
      <c r="F199" s="13">
        <v>2</v>
      </c>
      <c r="G199" s="12">
        <f t="shared" si="7"/>
        <v>20800</v>
      </c>
      <c r="H199" s="14">
        <v>0.5</v>
      </c>
      <c r="I199" s="12">
        <f t="shared" si="8"/>
        <v>10400</v>
      </c>
      <c r="J199" s="20"/>
      <c r="K199" s="15"/>
      <c r="L199" s="15"/>
      <c r="M199" s="15"/>
      <c r="N199" s="15"/>
      <c r="O199" s="15"/>
      <c r="P199" s="15"/>
      <c r="Q199" s="15"/>
      <c r="R199" s="15"/>
      <c r="S199" s="15"/>
    </row>
    <row r="200" ht="15" customHeight="true" spans="1:19">
      <c r="A200" s="5">
        <v>197</v>
      </c>
      <c r="B200" s="5" t="s">
        <v>25</v>
      </c>
      <c r="C200" s="5" t="s">
        <v>136</v>
      </c>
      <c r="D200" s="5" t="s">
        <v>15</v>
      </c>
      <c r="E200" s="12">
        <f>41600/4</f>
        <v>10400</v>
      </c>
      <c r="F200" s="13">
        <v>2</v>
      </c>
      <c r="G200" s="12">
        <f t="shared" si="7"/>
        <v>20800</v>
      </c>
      <c r="H200" s="14">
        <v>0.5</v>
      </c>
      <c r="I200" s="12">
        <f t="shared" si="8"/>
        <v>10400</v>
      </c>
      <c r="J200" s="20" t="s">
        <v>433</v>
      </c>
      <c r="K200" s="15"/>
      <c r="L200" s="15"/>
      <c r="M200" s="15"/>
      <c r="N200" s="15"/>
      <c r="O200" s="15"/>
      <c r="P200" s="15"/>
      <c r="Q200" s="15"/>
      <c r="R200" s="15"/>
      <c r="S200" s="15"/>
    </row>
    <row r="201" ht="15" customHeight="true" spans="1:19">
      <c r="A201" s="5">
        <v>198</v>
      </c>
      <c r="B201" s="5" t="s">
        <v>25</v>
      </c>
      <c r="C201" s="5" t="s">
        <v>171</v>
      </c>
      <c r="D201" s="5" t="s">
        <v>30</v>
      </c>
      <c r="E201" s="12">
        <v>16800</v>
      </c>
      <c r="F201" s="13">
        <v>1</v>
      </c>
      <c r="G201" s="12">
        <f t="shared" si="7"/>
        <v>16800</v>
      </c>
      <c r="H201" s="14">
        <v>0.5</v>
      </c>
      <c r="I201" s="12">
        <f t="shared" si="8"/>
        <v>8400</v>
      </c>
      <c r="J201" s="20" t="s">
        <v>434</v>
      </c>
      <c r="K201" s="15"/>
      <c r="L201" s="15"/>
      <c r="M201" s="15"/>
      <c r="N201" s="15"/>
      <c r="O201" s="15"/>
      <c r="P201" s="15"/>
      <c r="Q201" s="15"/>
      <c r="R201" s="15"/>
      <c r="S201" s="15"/>
    </row>
    <row r="202" ht="15" customHeight="true" spans="1:19">
      <c r="A202" s="5">
        <v>199</v>
      </c>
      <c r="B202" s="5" t="s">
        <v>13</v>
      </c>
      <c r="C202" s="5" t="s">
        <v>140</v>
      </c>
      <c r="D202" s="5" t="s">
        <v>30</v>
      </c>
      <c r="E202" s="12">
        <v>16800</v>
      </c>
      <c r="F202" s="13">
        <v>2</v>
      </c>
      <c r="G202" s="12">
        <f t="shared" si="7"/>
        <v>33600</v>
      </c>
      <c r="H202" s="14">
        <v>0.5</v>
      </c>
      <c r="I202" s="12">
        <f t="shared" si="8"/>
        <v>16800</v>
      </c>
      <c r="J202" s="20" t="s">
        <v>434</v>
      </c>
      <c r="K202" s="15"/>
      <c r="L202" s="15"/>
      <c r="M202" s="15"/>
      <c r="N202" s="15"/>
      <c r="O202" s="15"/>
      <c r="P202" s="15"/>
      <c r="Q202" s="15"/>
      <c r="R202" s="15"/>
      <c r="S202" s="15"/>
    </row>
    <row r="203" ht="15" customHeight="true" spans="1:19">
      <c r="A203" s="5">
        <v>200</v>
      </c>
      <c r="B203" s="5" t="s">
        <v>25</v>
      </c>
      <c r="C203" s="5" t="s">
        <v>148</v>
      </c>
      <c r="D203" s="5" t="s">
        <v>15</v>
      </c>
      <c r="E203" s="12">
        <f>115200/72*9</f>
        <v>14400</v>
      </c>
      <c r="F203" s="13">
        <v>2</v>
      </c>
      <c r="G203" s="12">
        <f t="shared" si="7"/>
        <v>28800</v>
      </c>
      <c r="H203" s="14">
        <v>0.5</v>
      </c>
      <c r="I203" s="12">
        <f t="shared" si="8"/>
        <v>14400</v>
      </c>
      <c r="J203" s="20" t="s">
        <v>435</v>
      </c>
      <c r="K203" s="15"/>
      <c r="L203" s="15"/>
      <c r="M203" s="15"/>
      <c r="N203" s="15"/>
      <c r="O203" s="15"/>
      <c r="P203" s="15"/>
      <c r="Q203" s="15"/>
      <c r="R203" s="15"/>
      <c r="S203" s="15"/>
    </row>
    <row r="204" ht="15" customHeight="true" spans="1:19">
      <c r="A204" s="5">
        <v>201</v>
      </c>
      <c r="B204" s="5" t="s">
        <v>28</v>
      </c>
      <c r="C204" s="5" t="s">
        <v>436</v>
      </c>
      <c r="D204" s="5" t="s">
        <v>44</v>
      </c>
      <c r="E204" s="12">
        <f>281250/225*9</f>
        <v>11250</v>
      </c>
      <c r="F204" s="13">
        <v>2</v>
      </c>
      <c r="G204" s="12">
        <f t="shared" si="7"/>
        <v>22500</v>
      </c>
      <c r="H204" s="14">
        <v>0.5</v>
      </c>
      <c r="I204" s="12">
        <f t="shared" si="8"/>
        <v>11200</v>
      </c>
      <c r="J204" s="20" t="s">
        <v>423</v>
      </c>
      <c r="K204" s="15"/>
      <c r="L204" s="15"/>
      <c r="M204" s="15"/>
      <c r="N204" s="15"/>
      <c r="O204" s="15"/>
      <c r="P204" s="15"/>
      <c r="Q204" s="15"/>
      <c r="R204" s="15"/>
      <c r="S204" s="15"/>
    </row>
    <row r="205" ht="15" customHeight="true" spans="1:19">
      <c r="A205" s="5">
        <v>202</v>
      </c>
      <c r="B205" s="5" t="s">
        <v>28</v>
      </c>
      <c r="C205" s="5" t="s">
        <v>236</v>
      </c>
      <c r="D205" s="5" t="s">
        <v>30</v>
      </c>
      <c r="E205" s="12">
        <v>16800</v>
      </c>
      <c r="F205" s="13">
        <v>2</v>
      </c>
      <c r="G205" s="12">
        <f t="shared" si="7"/>
        <v>33600</v>
      </c>
      <c r="H205" s="14">
        <v>0.5</v>
      </c>
      <c r="I205" s="12">
        <f t="shared" si="8"/>
        <v>16800</v>
      </c>
      <c r="J205" s="20" t="s">
        <v>434</v>
      </c>
      <c r="K205" s="15"/>
      <c r="L205" s="15"/>
      <c r="M205" s="15"/>
      <c r="N205" s="15"/>
      <c r="O205" s="15"/>
      <c r="P205" s="15"/>
      <c r="Q205" s="15"/>
      <c r="R205" s="15"/>
      <c r="S205" s="15"/>
    </row>
    <row r="206" ht="15" customHeight="true" spans="1:19">
      <c r="A206" s="5">
        <v>203</v>
      </c>
      <c r="B206" s="5" t="s">
        <v>13</v>
      </c>
      <c r="C206" s="5" t="s">
        <v>437</v>
      </c>
      <c r="D206" s="5" t="s">
        <v>20</v>
      </c>
      <c r="E206" s="12">
        <f>114480/54*9</f>
        <v>19080</v>
      </c>
      <c r="F206" s="13">
        <v>2</v>
      </c>
      <c r="G206" s="12">
        <f t="shared" si="7"/>
        <v>38160</v>
      </c>
      <c r="H206" s="14">
        <v>0.5</v>
      </c>
      <c r="I206" s="12">
        <f t="shared" si="8"/>
        <v>19000</v>
      </c>
      <c r="J206" s="20" t="s">
        <v>438</v>
      </c>
      <c r="K206" s="15"/>
      <c r="L206" s="15"/>
      <c r="M206" s="15"/>
      <c r="N206" s="15"/>
      <c r="O206" s="15"/>
      <c r="P206" s="15"/>
      <c r="Q206" s="15"/>
      <c r="R206" s="15"/>
      <c r="S206" s="15"/>
    </row>
    <row r="207" ht="15" customHeight="true" spans="1:19">
      <c r="A207" s="5">
        <v>204</v>
      </c>
      <c r="B207" s="5" t="s">
        <v>28</v>
      </c>
      <c r="C207" s="5" t="s">
        <v>94</v>
      </c>
      <c r="D207" s="5" t="s">
        <v>44</v>
      </c>
      <c r="E207" s="12">
        <f>27360/18*9</f>
        <v>13680</v>
      </c>
      <c r="F207" s="13">
        <v>2</v>
      </c>
      <c r="G207" s="12">
        <f t="shared" si="7"/>
        <v>27360</v>
      </c>
      <c r="H207" s="14">
        <v>0.5</v>
      </c>
      <c r="I207" s="12">
        <f t="shared" si="8"/>
        <v>13600</v>
      </c>
      <c r="J207" s="20" t="s">
        <v>439</v>
      </c>
      <c r="K207" s="15"/>
      <c r="L207" s="15"/>
      <c r="M207" s="15"/>
      <c r="N207" s="15"/>
      <c r="O207" s="15"/>
      <c r="P207" s="15"/>
      <c r="Q207" s="15"/>
      <c r="R207" s="15"/>
      <c r="S207" s="15"/>
    </row>
    <row r="208" ht="15" customHeight="true" spans="1:19">
      <c r="A208" s="5">
        <v>205</v>
      </c>
      <c r="B208" s="5" t="s">
        <v>28</v>
      </c>
      <c r="C208" s="5" t="s">
        <v>94</v>
      </c>
      <c r="D208" s="5" t="s">
        <v>30</v>
      </c>
      <c r="E208" s="12">
        <v>16800</v>
      </c>
      <c r="F208" s="13">
        <v>1</v>
      </c>
      <c r="G208" s="12">
        <f t="shared" si="7"/>
        <v>16800</v>
      </c>
      <c r="H208" s="14">
        <v>0.5</v>
      </c>
      <c r="I208" s="12">
        <f t="shared" si="8"/>
        <v>8400</v>
      </c>
      <c r="J208" s="20"/>
      <c r="K208" s="15"/>
      <c r="L208" s="15"/>
      <c r="M208" s="15"/>
      <c r="N208" s="15"/>
      <c r="O208" s="15"/>
      <c r="P208" s="15"/>
      <c r="Q208" s="15"/>
      <c r="R208" s="15"/>
      <c r="S208" s="15"/>
    </row>
    <row r="209" ht="15" customHeight="true" spans="1:19">
      <c r="A209" s="5">
        <v>206</v>
      </c>
      <c r="B209" s="5" t="s">
        <v>28</v>
      </c>
      <c r="C209" s="5" t="s">
        <v>441</v>
      </c>
      <c r="D209" s="5" t="s">
        <v>15</v>
      </c>
      <c r="E209" s="12">
        <f>94000/10</f>
        <v>9400</v>
      </c>
      <c r="F209" s="13">
        <v>2</v>
      </c>
      <c r="G209" s="12">
        <f t="shared" si="7"/>
        <v>18800</v>
      </c>
      <c r="H209" s="14">
        <v>0.5</v>
      </c>
      <c r="I209" s="12">
        <f t="shared" si="8"/>
        <v>9400</v>
      </c>
      <c r="J209" s="20"/>
      <c r="K209" s="15"/>
      <c r="L209" s="15"/>
      <c r="M209" s="15"/>
      <c r="N209" s="15"/>
      <c r="O209" s="15"/>
      <c r="P209" s="15"/>
      <c r="Q209" s="15"/>
      <c r="R209" s="15"/>
      <c r="S209" s="15"/>
    </row>
    <row r="210" ht="15" customHeight="true" spans="1:19">
      <c r="A210" s="5">
        <v>207</v>
      </c>
      <c r="B210" s="5" t="s">
        <v>28</v>
      </c>
      <c r="C210" s="5" t="s">
        <v>442</v>
      </c>
      <c r="D210" s="5" t="s">
        <v>15</v>
      </c>
      <c r="E210" s="12">
        <f>84600/9</f>
        <v>9400</v>
      </c>
      <c r="F210" s="13">
        <v>2</v>
      </c>
      <c r="G210" s="12">
        <f t="shared" si="7"/>
        <v>18800</v>
      </c>
      <c r="H210" s="14">
        <v>0.5</v>
      </c>
      <c r="I210" s="12">
        <f t="shared" si="8"/>
        <v>9400</v>
      </c>
      <c r="J210" s="20" t="s">
        <v>435</v>
      </c>
      <c r="K210" s="15" t="s">
        <v>443</v>
      </c>
      <c r="L210" s="15"/>
      <c r="M210" s="15"/>
      <c r="N210" s="15"/>
      <c r="O210" s="15"/>
      <c r="P210" s="15"/>
      <c r="Q210" s="15"/>
      <c r="R210" s="15"/>
      <c r="S210" s="15"/>
    </row>
    <row r="211" ht="15" customHeight="true" spans="1:19">
      <c r="A211" s="5">
        <v>208</v>
      </c>
      <c r="B211" s="5" t="s">
        <v>28</v>
      </c>
      <c r="C211" s="5" t="s">
        <v>444</v>
      </c>
      <c r="D211" s="5" t="s">
        <v>15</v>
      </c>
      <c r="E211" s="12">
        <f>37600/4</f>
        <v>9400</v>
      </c>
      <c r="F211" s="13">
        <v>2</v>
      </c>
      <c r="G211" s="12">
        <f t="shared" si="7"/>
        <v>18800</v>
      </c>
      <c r="H211" s="14">
        <v>0.5</v>
      </c>
      <c r="I211" s="12">
        <f t="shared" si="8"/>
        <v>9400</v>
      </c>
      <c r="J211" s="20" t="s">
        <v>435</v>
      </c>
      <c r="K211" s="15"/>
      <c r="L211" s="15"/>
      <c r="M211" s="15"/>
      <c r="N211" s="15"/>
      <c r="O211" s="15"/>
      <c r="P211" s="15"/>
      <c r="Q211" s="15"/>
      <c r="R211" s="15"/>
      <c r="S211" s="15"/>
    </row>
    <row r="212" ht="15" customHeight="true" spans="1:19">
      <c r="A212" s="5">
        <v>209</v>
      </c>
      <c r="B212" s="5" t="s">
        <v>13</v>
      </c>
      <c r="C212" s="5" t="s">
        <v>243</v>
      </c>
      <c r="D212" s="5" t="s">
        <v>15</v>
      </c>
      <c r="E212" s="12">
        <f>41600/4</f>
        <v>10400</v>
      </c>
      <c r="F212" s="13">
        <v>2</v>
      </c>
      <c r="G212" s="12">
        <f t="shared" si="7"/>
        <v>20800</v>
      </c>
      <c r="H212" s="14">
        <v>0.5</v>
      </c>
      <c r="I212" s="12">
        <f t="shared" si="8"/>
        <v>10400</v>
      </c>
      <c r="J212" s="20" t="s">
        <v>445</v>
      </c>
      <c r="K212" s="15"/>
      <c r="L212" s="15"/>
      <c r="M212" s="15"/>
      <c r="N212" s="15"/>
      <c r="O212" s="15"/>
      <c r="P212" s="15"/>
      <c r="Q212" s="15"/>
      <c r="R212" s="15"/>
      <c r="S212" s="15"/>
    </row>
    <row r="213" ht="15" customHeight="true" spans="1:19">
      <c r="A213" s="5">
        <v>210</v>
      </c>
      <c r="B213" s="5" t="s">
        <v>28</v>
      </c>
      <c r="C213" s="5" t="s">
        <v>446</v>
      </c>
      <c r="D213" s="5" t="s">
        <v>131</v>
      </c>
      <c r="E213" s="12">
        <f>32400/36*9</f>
        <v>8100</v>
      </c>
      <c r="F213" s="13">
        <v>2</v>
      </c>
      <c r="G213" s="12">
        <f t="shared" si="7"/>
        <v>16200</v>
      </c>
      <c r="H213" s="14">
        <v>0.5</v>
      </c>
      <c r="I213" s="12">
        <f t="shared" si="8"/>
        <v>8100</v>
      </c>
      <c r="J213" s="20" t="s">
        <v>422</v>
      </c>
      <c r="K213" s="15"/>
      <c r="L213" s="15"/>
      <c r="M213" s="15"/>
      <c r="N213" s="15"/>
      <c r="O213" s="15"/>
      <c r="P213" s="15"/>
      <c r="Q213" s="15"/>
      <c r="R213" s="15"/>
      <c r="S213" s="15"/>
    </row>
    <row r="214" ht="15" customHeight="true" spans="1:19">
      <c r="A214" s="5">
        <v>211</v>
      </c>
      <c r="B214" s="5" t="s">
        <v>18</v>
      </c>
      <c r="C214" s="5" t="s">
        <v>447</v>
      </c>
      <c r="D214" s="5" t="s">
        <v>109</v>
      </c>
      <c r="E214" s="12">
        <v>8000</v>
      </c>
      <c r="F214" s="13">
        <v>2</v>
      </c>
      <c r="G214" s="12">
        <f t="shared" si="7"/>
        <v>16000</v>
      </c>
      <c r="H214" s="14">
        <v>0.5</v>
      </c>
      <c r="I214" s="12">
        <f t="shared" si="8"/>
        <v>8000</v>
      </c>
      <c r="J214" s="20"/>
      <c r="K214" s="15"/>
      <c r="L214" s="15"/>
      <c r="M214" s="15"/>
      <c r="N214" s="15"/>
      <c r="O214" s="15"/>
      <c r="P214" s="15"/>
      <c r="Q214" s="15"/>
      <c r="R214" s="15"/>
      <c r="S214" s="15"/>
    </row>
    <row r="215" ht="15" customHeight="true" spans="1:19">
      <c r="A215" s="5">
        <v>212</v>
      </c>
      <c r="B215" s="5" t="s">
        <v>13</v>
      </c>
      <c r="C215" s="5" t="s">
        <v>448</v>
      </c>
      <c r="D215" s="5" t="s">
        <v>109</v>
      </c>
      <c r="E215" s="12">
        <v>8000</v>
      </c>
      <c r="F215" s="13">
        <v>2</v>
      </c>
      <c r="G215" s="12">
        <f t="shared" si="7"/>
        <v>16000</v>
      </c>
      <c r="H215" s="14">
        <v>0.5</v>
      </c>
      <c r="I215" s="12">
        <f t="shared" si="8"/>
        <v>8000</v>
      </c>
      <c r="J215" s="20"/>
      <c r="K215" s="15"/>
      <c r="L215" s="15"/>
      <c r="M215" s="15"/>
      <c r="N215" s="15"/>
      <c r="O215" s="15"/>
      <c r="P215" s="15"/>
      <c r="Q215" s="15"/>
      <c r="R215" s="15"/>
      <c r="S215" s="15"/>
    </row>
    <row r="216" ht="15" customHeight="true" spans="1:19">
      <c r="A216" s="5">
        <v>213</v>
      </c>
      <c r="B216" s="5" t="s">
        <v>28</v>
      </c>
      <c r="C216" s="5" t="s">
        <v>449</v>
      </c>
      <c r="D216" s="5" t="s">
        <v>44</v>
      </c>
      <c r="E216" s="12">
        <f>60000/48*9</f>
        <v>11250</v>
      </c>
      <c r="F216" s="13">
        <v>2</v>
      </c>
      <c r="G216" s="12">
        <f t="shared" si="7"/>
        <v>22500</v>
      </c>
      <c r="H216" s="14">
        <v>0.5</v>
      </c>
      <c r="I216" s="12">
        <f t="shared" si="8"/>
        <v>11200</v>
      </c>
      <c r="J216" s="20" t="s">
        <v>450</v>
      </c>
      <c r="K216" s="15"/>
      <c r="L216" s="15"/>
      <c r="M216" s="15"/>
      <c r="N216" s="15"/>
      <c r="O216" s="15"/>
      <c r="P216" s="15"/>
      <c r="Q216" s="15"/>
      <c r="R216" s="15"/>
      <c r="S216" s="15"/>
    </row>
    <row r="217" ht="15" customHeight="true" spans="1:19">
      <c r="A217" s="5">
        <v>214</v>
      </c>
      <c r="B217" s="5" t="s">
        <v>21</v>
      </c>
      <c r="C217" s="5" t="s">
        <v>451</v>
      </c>
      <c r="D217" s="5" t="s">
        <v>109</v>
      </c>
      <c r="E217" s="12">
        <v>4000</v>
      </c>
      <c r="F217" s="13">
        <v>2</v>
      </c>
      <c r="G217" s="12">
        <f t="shared" si="7"/>
        <v>8000</v>
      </c>
      <c r="H217" s="14">
        <v>0.5</v>
      </c>
      <c r="I217" s="12">
        <f t="shared" si="8"/>
        <v>4000</v>
      </c>
      <c r="J217" s="20"/>
      <c r="K217" s="15"/>
      <c r="L217" s="15"/>
      <c r="M217" s="15"/>
      <c r="N217" s="15"/>
      <c r="O217" s="15"/>
      <c r="P217" s="15"/>
      <c r="Q217" s="15"/>
      <c r="R217" s="15"/>
      <c r="S217" s="15"/>
    </row>
    <row r="218" ht="15" customHeight="true" spans="1:19">
      <c r="A218" s="5">
        <v>215</v>
      </c>
      <c r="B218" s="5" t="s">
        <v>452</v>
      </c>
      <c r="C218" s="5" t="s">
        <v>453</v>
      </c>
      <c r="D218" s="5" t="s">
        <v>382</v>
      </c>
      <c r="E218" s="12">
        <v>10000</v>
      </c>
      <c r="F218" s="13">
        <v>1</v>
      </c>
      <c r="G218" s="12">
        <f t="shared" si="7"/>
        <v>10000</v>
      </c>
      <c r="H218" s="14">
        <v>0.5</v>
      </c>
      <c r="I218" s="12">
        <f t="shared" si="8"/>
        <v>5000</v>
      </c>
      <c r="J218" s="20"/>
      <c r="K218" s="15"/>
      <c r="L218" s="15"/>
      <c r="M218" s="15"/>
      <c r="N218" s="15"/>
      <c r="O218" s="15"/>
      <c r="P218" s="15"/>
      <c r="Q218" s="15"/>
      <c r="R218" s="15"/>
      <c r="S218" s="15"/>
    </row>
    <row r="219" ht="15" customHeight="true" spans="1:19">
      <c r="A219" s="5">
        <v>216</v>
      </c>
      <c r="B219" s="5" t="s">
        <v>23</v>
      </c>
      <c r="C219" s="5" t="s">
        <v>391</v>
      </c>
      <c r="D219" s="5" t="s">
        <v>58</v>
      </c>
      <c r="E219" s="12">
        <v>19440</v>
      </c>
      <c r="F219" s="13">
        <v>1</v>
      </c>
      <c r="G219" s="12">
        <f t="shared" si="7"/>
        <v>19440</v>
      </c>
      <c r="H219" s="14">
        <v>0.5</v>
      </c>
      <c r="I219" s="12">
        <f t="shared" si="8"/>
        <v>9700</v>
      </c>
      <c r="J219" s="20" t="s">
        <v>454</v>
      </c>
      <c r="K219" s="15"/>
      <c r="L219" s="15"/>
      <c r="M219" s="15"/>
      <c r="N219" s="15"/>
      <c r="O219" s="15"/>
      <c r="P219" s="15"/>
      <c r="Q219" s="15"/>
      <c r="R219" s="15"/>
      <c r="S219" s="15"/>
    </row>
    <row r="220" ht="15" customHeight="true" spans="1:19">
      <c r="A220" s="5">
        <v>217</v>
      </c>
      <c r="B220" s="5" t="s">
        <v>23</v>
      </c>
      <c r="C220" s="5" t="s">
        <v>391</v>
      </c>
      <c r="D220" s="5" t="s">
        <v>109</v>
      </c>
      <c r="E220" s="12">
        <v>4000</v>
      </c>
      <c r="F220" s="13">
        <v>2</v>
      </c>
      <c r="G220" s="12">
        <f t="shared" si="7"/>
        <v>8000</v>
      </c>
      <c r="H220" s="14">
        <v>0.5</v>
      </c>
      <c r="I220" s="12">
        <f t="shared" si="8"/>
        <v>4000</v>
      </c>
      <c r="J220" s="20"/>
      <c r="K220" s="15"/>
      <c r="L220" s="15"/>
      <c r="M220" s="15"/>
      <c r="N220" s="15"/>
      <c r="O220" s="15"/>
      <c r="P220" s="15"/>
      <c r="Q220" s="15"/>
      <c r="R220" s="15"/>
      <c r="S220" s="15"/>
    </row>
    <row r="221" ht="15" customHeight="true" spans="1:19">
      <c r="A221" s="5">
        <v>218</v>
      </c>
      <c r="B221" s="5" t="s">
        <v>28</v>
      </c>
      <c r="C221" s="5" t="s">
        <v>101</v>
      </c>
      <c r="D221" s="5" t="s">
        <v>15</v>
      </c>
      <c r="E221" s="12">
        <f>136800/72*9</f>
        <v>17100</v>
      </c>
      <c r="F221" s="13">
        <v>2</v>
      </c>
      <c r="G221" s="12">
        <f t="shared" si="7"/>
        <v>34200</v>
      </c>
      <c r="H221" s="14">
        <v>0.5</v>
      </c>
      <c r="I221" s="12">
        <f t="shared" si="8"/>
        <v>17100</v>
      </c>
      <c r="J221" s="20"/>
      <c r="K221" s="15"/>
      <c r="L221" s="15"/>
      <c r="M221" s="15"/>
      <c r="N221" s="15"/>
      <c r="O221" s="15"/>
      <c r="P221" s="15"/>
      <c r="Q221" s="15"/>
      <c r="R221" s="15"/>
      <c r="S221" s="15"/>
    </row>
    <row r="222" ht="15" customHeight="true" spans="1:19">
      <c r="A222" s="5">
        <v>219</v>
      </c>
      <c r="B222" s="5" t="s">
        <v>28</v>
      </c>
      <c r="C222" s="5" t="s">
        <v>47</v>
      </c>
      <c r="D222" s="5" t="s">
        <v>44</v>
      </c>
      <c r="E222" s="12">
        <f>20700/12*9</f>
        <v>15525</v>
      </c>
      <c r="F222" s="13">
        <v>1</v>
      </c>
      <c r="G222" s="12">
        <f t="shared" si="7"/>
        <v>15525</v>
      </c>
      <c r="H222" s="14">
        <v>0.5</v>
      </c>
      <c r="I222" s="12">
        <f t="shared" si="8"/>
        <v>7700</v>
      </c>
      <c r="J222" s="20"/>
      <c r="K222" s="15"/>
      <c r="L222" s="15"/>
      <c r="M222" s="15"/>
      <c r="N222" s="15"/>
      <c r="O222" s="15"/>
      <c r="P222" s="15"/>
      <c r="Q222" s="15"/>
      <c r="R222" s="15"/>
      <c r="S222" s="15"/>
    </row>
    <row r="223" ht="15" customHeight="true" spans="1:19">
      <c r="A223" s="5">
        <v>220</v>
      </c>
      <c r="B223" s="5" t="s">
        <v>28</v>
      </c>
      <c r="C223" s="5" t="s">
        <v>310</v>
      </c>
      <c r="D223" s="5" t="s">
        <v>44</v>
      </c>
      <c r="E223" s="12">
        <f>41400/24*9</f>
        <v>15525</v>
      </c>
      <c r="F223" s="13">
        <v>2</v>
      </c>
      <c r="G223" s="12">
        <f t="shared" si="7"/>
        <v>31050</v>
      </c>
      <c r="H223" s="14">
        <v>0.5</v>
      </c>
      <c r="I223" s="12">
        <f t="shared" si="8"/>
        <v>15500</v>
      </c>
      <c r="J223" s="20"/>
      <c r="K223" s="15"/>
      <c r="L223" s="15"/>
      <c r="M223" s="15"/>
      <c r="N223" s="15"/>
      <c r="O223" s="15"/>
      <c r="P223" s="15"/>
      <c r="Q223" s="15"/>
      <c r="R223" s="15"/>
      <c r="S223" s="15"/>
    </row>
    <row r="224" ht="15" customHeight="true" spans="1:19">
      <c r="A224" s="5">
        <v>221</v>
      </c>
      <c r="B224" s="5" t="s">
        <v>28</v>
      </c>
      <c r="C224" s="5" t="s">
        <v>205</v>
      </c>
      <c r="D224" s="5" t="s">
        <v>44</v>
      </c>
      <c r="E224" s="12">
        <f>41400/24*9</f>
        <v>15525</v>
      </c>
      <c r="F224" s="13">
        <v>2</v>
      </c>
      <c r="G224" s="12">
        <f t="shared" si="7"/>
        <v>31050</v>
      </c>
      <c r="H224" s="14">
        <v>0.5</v>
      </c>
      <c r="I224" s="12">
        <f t="shared" si="8"/>
        <v>15500</v>
      </c>
      <c r="J224" s="20"/>
      <c r="K224" s="15"/>
      <c r="L224" s="15"/>
      <c r="M224" s="15"/>
      <c r="N224" s="15"/>
      <c r="O224" s="15"/>
      <c r="P224" s="15"/>
      <c r="Q224" s="15"/>
      <c r="R224" s="15"/>
      <c r="S224" s="15"/>
    </row>
    <row r="225" ht="15" customHeight="true" spans="1:19">
      <c r="A225" s="5">
        <v>222</v>
      </c>
      <c r="B225" s="5" t="s">
        <v>28</v>
      </c>
      <c r="C225" s="5" t="s">
        <v>227</v>
      </c>
      <c r="D225" s="5" t="s">
        <v>44</v>
      </c>
      <c r="E225" s="12">
        <f>41400/24*9</f>
        <v>15525</v>
      </c>
      <c r="F225" s="13">
        <v>2</v>
      </c>
      <c r="G225" s="12">
        <f t="shared" si="7"/>
        <v>31050</v>
      </c>
      <c r="H225" s="14">
        <v>0.5</v>
      </c>
      <c r="I225" s="12">
        <f t="shared" si="8"/>
        <v>15500</v>
      </c>
      <c r="J225" s="20"/>
      <c r="K225" s="15"/>
      <c r="L225" s="15"/>
      <c r="M225" s="15"/>
      <c r="N225" s="15"/>
      <c r="O225" s="15"/>
      <c r="P225" s="15"/>
      <c r="Q225" s="15"/>
      <c r="R225" s="15"/>
      <c r="S225" s="15"/>
    </row>
    <row r="226" ht="15" customHeight="true" spans="1:19">
      <c r="A226" s="5">
        <v>223</v>
      </c>
      <c r="B226" s="5" t="s">
        <v>28</v>
      </c>
      <c r="C226" s="5" t="s">
        <v>206</v>
      </c>
      <c r="D226" s="5" t="s">
        <v>44</v>
      </c>
      <c r="E226" s="12">
        <f>31050/18*9</f>
        <v>15525</v>
      </c>
      <c r="F226" s="13">
        <v>2</v>
      </c>
      <c r="G226" s="12">
        <f t="shared" si="7"/>
        <v>31050</v>
      </c>
      <c r="H226" s="14">
        <v>0.5</v>
      </c>
      <c r="I226" s="12">
        <f t="shared" si="8"/>
        <v>15500</v>
      </c>
      <c r="J226" s="20"/>
      <c r="K226" s="15"/>
      <c r="L226" s="15"/>
      <c r="M226" s="15"/>
      <c r="N226" s="15"/>
      <c r="O226" s="15"/>
      <c r="P226" s="15"/>
      <c r="Q226" s="15"/>
      <c r="R226" s="15"/>
      <c r="S226" s="15"/>
    </row>
    <row r="227" ht="15" customHeight="true" spans="1:19">
      <c r="A227" s="5">
        <v>224</v>
      </c>
      <c r="B227" s="5" t="s">
        <v>28</v>
      </c>
      <c r="C227" s="5" t="s">
        <v>200</v>
      </c>
      <c r="D227" s="5" t="s">
        <v>44</v>
      </c>
      <c r="E227" s="12">
        <f>20700/12*9</f>
        <v>15525</v>
      </c>
      <c r="F227" s="13">
        <v>1</v>
      </c>
      <c r="G227" s="12">
        <f t="shared" si="7"/>
        <v>15525</v>
      </c>
      <c r="H227" s="14">
        <v>0.5</v>
      </c>
      <c r="I227" s="12">
        <f t="shared" si="8"/>
        <v>7700</v>
      </c>
      <c r="J227" s="20" t="s">
        <v>455</v>
      </c>
      <c r="K227" s="15"/>
      <c r="L227" s="15"/>
      <c r="M227" s="15"/>
      <c r="N227" s="15"/>
      <c r="O227" s="15"/>
      <c r="P227" s="15"/>
      <c r="Q227" s="15"/>
      <c r="R227" s="15"/>
      <c r="S227" s="15"/>
    </row>
    <row r="228" ht="15" customHeight="true" spans="1:19">
      <c r="A228" s="5">
        <v>225</v>
      </c>
      <c r="B228" s="5" t="s">
        <v>28</v>
      </c>
      <c r="C228" s="5" t="s">
        <v>225</v>
      </c>
      <c r="D228" s="5" t="s">
        <v>44</v>
      </c>
      <c r="E228" s="12">
        <f>27600/16*9</f>
        <v>15525</v>
      </c>
      <c r="F228" s="13">
        <v>1</v>
      </c>
      <c r="G228" s="12">
        <f t="shared" si="7"/>
        <v>15525</v>
      </c>
      <c r="H228" s="14">
        <v>0.5</v>
      </c>
      <c r="I228" s="12">
        <f t="shared" si="8"/>
        <v>7700</v>
      </c>
      <c r="J228" s="20"/>
      <c r="K228" s="15"/>
      <c r="L228" s="15"/>
      <c r="M228" s="15"/>
      <c r="N228" s="15"/>
      <c r="O228" s="15"/>
      <c r="P228" s="15"/>
      <c r="Q228" s="15"/>
      <c r="R228" s="15"/>
      <c r="S228" s="15"/>
    </row>
    <row r="229" ht="15" customHeight="true" spans="1:19">
      <c r="A229" s="5">
        <v>226</v>
      </c>
      <c r="B229" s="5" t="s">
        <v>28</v>
      </c>
      <c r="C229" s="5" t="s">
        <v>217</v>
      </c>
      <c r="D229" s="5" t="s">
        <v>44</v>
      </c>
      <c r="E229" s="12">
        <f>34500/20*9</f>
        <v>15525</v>
      </c>
      <c r="F229" s="13">
        <v>2</v>
      </c>
      <c r="G229" s="12">
        <f t="shared" si="7"/>
        <v>31050</v>
      </c>
      <c r="H229" s="14">
        <v>0.5</v>
      </c>
      <c r="I229" s="12">
        <f t="shared" si="8"/>
        <v>15500</v>
      </c>
      <c r="J229" s="20" t="s">
        <v>456</v>
      </c>
      <c r="K229" s="15"/>
      <c r="L229" s="15"/>
      <c r="M229" s="15"/>
      <c r="N229" s="15"/>
      <c r="O229" s="15"/>
      <c r="P229" s="15"/>
      <c r="Q229" s="15"/>
      <c r="R229" s="15"/>
      <c r="S229" s="15"/>
    </row>
    <row r="230" ht="15" customHeight="true" spans="1:19">
      <c r="A230" s="5">
        <v>227</v>
      </c>
      <c r="B230" s="5" t="s">
        <v>28</v>
      </c>
      <c r="C230" s="5" t="s">
        <v>208</v>
      </c>
      <c r="D230" s="5" t="s">
        <v>44</v>
      </c>
      <c r="E230" s="12">
        <f>31050/18*9</f>
        <v>15525</v>
      </c>
      <c r="F230" s="13">
        <v>2</v>
      </c>
      <c r="G230" s="12">
        <f t="shared" si="7"/>
        <v>31050</v>
      </c>
      <c r="H230" s="14">
        <v>0.5</v>
      </c>
      <c r="I230" s="12">
        <f t="shared" si="8"/>
        <v>15500</v>
      </c>
      <c r="J230" s="20" t="s">
        <v>456</v>
      </c>
      <c r="K230" s="15"/>
      <c r="L230" s="15"/>
      <c r="M230" s="15"/>
      <c r="N230" s="15"/>
      <c r="O230" s="15"/>
      <c r="P230" s="15"/>
      <c r="Q230" s="15"/>
      <c r="R230" s="15"/>
      <c r="S230" s="15"/>
    </row>
    <row r="231" ht="15" customHeight="true" spans="1:19">
      <c r="A231" s="5">
        <v>228</v>
      </c>
      <c r="B231" s="5" t="s">
        <v>28</v>
      </c>
      <c r="C231" s="5" t="s">
        <v>224</v>
      </c>
      <c r="D231" s="5" t="s">
        <v>44</v>
      </c>
      <c r="E231" s="12">
        <f>43125/25*9</f>
        <v>15525</v>
      </c>
      <c r="F231" s="13">
        <v>2</v>
      </c>
      <c r="G231" s="12">
        <f t="shared" si="7"/>
        <v>31050</v>
      </c>
      <c r="H231" s="14">
        <v>0.5</v>
      </c>
      <c r="I231" s="12">
        <f t="shared" si="8"/>
        <v>15500</v>
      </c>
      <c r="J231" s="20" t="s">
        <v>456</v>
      </c>
      <c r="K231" s="15"/>
      <c r="L231" s="15"/>
      <c r="M231" s="15"/>
      <c r="N231" s="15"/>
      <c r="O231" s="15"/>
      <c r="P231" s="15"/>
      <c r="Q231" s="15"/>
      <c r="R231" s="15"/>
      <c r="S231" s="15"/>
    </row>
    <row r="232" ht="15" customHeight="true" spans="1:19">
      <c r="A232" s="5">
        <v>229</v>
      </c>
      <c r="B232" s="5" t="s">
        <v>21</v>
      </c>
      <c r="C232" s="5" t="s">
        <v>196</v>
      </c>
      <c r="D232" s="5" t="s">
        <v>15</v>
      </c>
      <c r="E232" s="12">
        <f>56400/6</f>
        <v>9400</v>
      </c>
      <c r="F232" s="13">
        <v>2</v>
      </c>
      <c r="G232" s="12">
        <f t="shared" si="7"/>
        <v>18800</v>
      </c>
      <c r="H232" s="14">
        <v>0.5</v>
      </c>
      <c r="I232" s="12">
        <f t="shared" si="8"/>
        <v>9400</v>
      </c>
      <c r="J232" s="20" t="s">
        <v>457</v>
      </c>
      <c r="K232" s="15"/>
      <c r="L232" s="15" t="s">
        <v>458</v>
      </c>
      <c r="M232" s="15"/>
      <c r="N232" s="15"/>
      <c r="O232" s="15"/>
      <c r="P232" s="15"/>
      <c r="Q232" s="15"/>
      <c r="R232" s="15"/>
      <c r="S232" s="15"/>
    </row>
    <row r="233" ht="15" customHeight="true" spans="1:19">
      <c r="A233" s="5">
        <v>230</v>
      </c>
      <c r="B233" s="5" t="s">
        <v>21</v>
      </c>
      <c r="C233" s="5" t="s">
        <v>459</v>
      </c>
      <c r="D233" s="5" t="s">
        <v>15</v>
      </c>
      <c r="E233" s="12">
        <f>172800/108*9</f>
        <v>14400</v>
      </c>
      <c r="F233" s="13">
        <v>2</v>
      </c>
      <c r="G233" s="12">
        <f t="shared" si="7"/>
        <v>28800</v>
      </c>
      <c r="H233" s="14">
        <v>0.5</v>
      </c>
      <c r="I233" s="12">
        <f t="shared" si="8"/>
        <v>14400</v>
      </c>
      <c r="J233" s="20"/>
      <c r="K233" s="15"/>
      <c r="L233" s="15"/>
      <c r="M233" s="15"/>
      <c r="N233" s="15"/>
      <c r="O233" s="15"/>
      <c r="P233" s="15"/>
      <c r="Q233" s="15"/>
      <c r="R233" s="15"/>
      <c r="S233" s="15"/>
    </row>
    <row r="234" ht="15" customHeight="true" spans="1:19">
      <c r="A234" s="5">
        <v>231</v>
      </c>
      <c r="B234" s="5" t="s">
        <v>28</v>
      </c>
      <c r="C234" s="5" t="s">
        <v>460</v>
      </c>
      <c r="D234" s="5" t="s">
        <v>44</v>
      </c>
      <c r="E234" s="12">
        <v>14400</v>
      </c>
      <c r="F234" s="13">
        <v>1</v>
      </c>
      <c r="G234" s="12">
        <f t="shared" si="7"/>
        <v>14400</v>
      </c>
      <c r="H234" s="14">
        <v>0.5</v>
      </c>
      <c r="I234" s="12">
        <f t="shared" si="8"/>
        <v>7200</v>
      </c>
      <c r="J234" s="20"/>
      <c r="K234" s="15"/>
      <c r="L234" s="15"/>
      <c r="M234" s="15"/>
      <c r="N234" s="15"/>
      <c r="O234" s="15"/>
      <c r="P234" s="15"/>
      <c r="Q234" s="15"/>
      <c r="R234" s="15"/>
      <c r="S234" s="15"/>
    </row>
    <row r="235" ht="15" customHeight="true" spans="1:19">
      <c r="A235" s="5">
        <v>232</v>
      </c>
      <c r="B235" s="5" t="s">
        <v>25</v>
      </c>
      <c r="C235" s="5" t="s">
        <v>22</v>
      </c>
      <c r="D235" s="5" t="s">
        <v>15</v>
      </c>
      <c r="E235" s="12">
        <f>115200/72*9</f>
        <v>14400</v>
      </c>
      <c r="F235" s="13">
        <v>2</v>
      </c>
      <c r="G235" s="12">
        <f t="shared" si="7"/>
        <v>28800</v>
      </c>
      <c r="H235" s="14">
        <v>0.5</v>
      </c>
      <c r="I235" s="12">
        <f t="shared" si="8"/>
        <v>14400</v>
      </c>
      <c r="J235" s="20"/>
      <c r="K235" s="15"/>
      <c r="L235" s="15"/>
      <c r="M235" s="15"/>
      <c r="N235" s="15"/>
      <c r="O235" s="15"/>
      <c r="P235" s="15"/>
      <c r="Q235" s="15"/>
      <c r="R235" s="15"/>
      <c r="S235" s="15"/>
    </row>
    <row r="236" ht="15" customHeight="true" spans="1:19">
      <c r="A236" s="5">
        <v>233</v>
      </c>
      <c r="B236" s="5" t="s">
        <v>28</v>
      </c>
      <c r="C236" s="5" t="s">
        <v>461</v>
      </c>
      <c r="D236" s="5" t="s">
        <v>15</v>
      </c>
      <c r="E236" s="12">
        <f>40768/4</f>
        <v>10192</v>
      </c>
      <c r="F236" s="13">
        <v>2</v>
      </c>
      <c r="G236" s="12">
        <f t="shared" si="7"/>
        <v>20384</v>
      </c>
      <c r="H236" s="14">
        <v>0.5</v>
      </c>
      <c r="I236" s="12">
        <f t="shared" si="8"/>
        <v>10100</v>
      </c>
      <c r="J236" s="20"/>
      <c r="K236" s="15"/>
      <c r="L236" s="15"/>
      <c r="M236" s="15"/>
      <c r="N236" s="15"/>
      <c r="O236" s="15"/>
      <c r="P236" s="15"/>
      <c r="Q236" s="15"/>
      <c r="R236" s="15"/>
      <c r="S236" s="15"/>
    </row>
    <row r="237" ht="15" customHeight="true" spans="1:19">
      <c r="A237" s="5">
        <v>234</v>
      </c>
      <c r="B237" s="5" t="s">
        <v>21</v>
      </c>
      <c r="C237" s="5" t="s">
        <v>462</v>
      </c>
      <c r="D237" s="5" t="s">
        <v>347</v>
      </c>
      <c r="E237" s="12">
        <f>170788/322*9</f>
        <v>4773.57763975155</v>
      </c>
      <c r="F237" s="13">
        <v>2</v>
      </c>
      <c r="G237" s="12">
        <f t="shared" si="7"/>
        <v>9547.15527950311</v>
      </c>
      <c r="H237" s="14">
        <v>0.5</v>
      </c>
      <c r="I237" s="12">
        <f t="shared" si="8"/>
        <v>4700</v>
      </c>
      <c r="J237" s="20"/>
      <c r="K237" s="15"/>
      <c r="L237" s="15"/>
      <c r="M237" s="15"/>
      <c r="N237" s="15"/>
      <c r="O237" s="15"/>
      <c r="P237" s="15"/>
      <c r="Q237" s="15"/>
      <c r="R237" s="15"/>
      <c r="S237" s="15"/>
    </row>
    <row r="238" ht="15" customHeight="true" spans="1:19">
      <c r="A238" s="5">
        <v>235</v>
      </c>
      <c r="B238" s="5" t="s">
        <v>13</v>
      </c>
      <c r="C238" s="5" t="s">
        <v>463</v>
      </c>
      <c r="D238" s="5" t="s">
        <v>30</v>
      </c>
      <c r="E238" s="12">
        <v>16800</v>
      </c>
      <c r="F238" s="13">
        <v>1</v>
      </c>
      <c r="G238" s="12">
        <f t="shared" si="7"/>
        <v>16800</v>
      </c>
      <c r="H238" s="14">
        <v>0.5</v>
      </c>
      <c r="I238" s="12">
        <f t="shared" si="8"/>
        <v>8400</v>
      </c>
      <c r="J238" s="20"/>
      <c r="K238" s="15"/>
      <c r="L238" s="15"/>
      <c r="M238" s="15"/>
      <c r="N238" s="15"/>
      <c r="O238" s="15"/>
      <c r="P238" s="15"/>
      <c r="Q238" s="15"/>
      <c r="R238" s="15"/>
      <c r="S238" s="15"/>
    </row>
    <row r="239" ht="15" customHeight="true" spans="1:19">
      <c r="A239" s="5">
        <v>236</v>
      </c>
      <c r="B239" s="5" t="s">
        <v>28</v>
      </c>
      <c r="C239" s="5" t="s">
        <v>464</v>
      </c>
      <c r="D239" s="5" t="s">
        <v>44</v>
      </c>
      <c r="E239" s="12">
        <f>48000/30*9</f>
        <v>14400</v>
      </c>
      <c r="F239" s="13">
        <v>2</v>
      </c>
      <c r="G239" s="12">
        <f t="shared" si="7"/>
        <v>28800</v>
      </c>
      <c r="H239" s="14">
        <v>0.5</v>
      </c>
      <c r="I239" s="12">
        <f t="shared" si="8"/>
        <v>14400</v>
      </c>
      <c r="J239" s="20"/>
      <c r="K239" s="15"/>
      <c r="L239" s="15"/>
      <c r="M239" s="15"/>
      <c r="N239" s="15"/>
      <c r="O239" s="15"/>
      <c r="P239" s="15"/>
      <c r="Q239" s="15"/>
      <c r="R239" s="15"/>
      <c r="S239" s="15"/>
    </row>
    <row r="240" ht="15" customHeight="true" spans="1:19">
      <c r="A240" s="5">
        <v>237</v>
      </c>
      <c r="B240" s="5" t="s">
        <v>28</v>
      </c>
      <c r="C240" s="5" t="s">
        <v>465</v>
      </c>
      <c r="D240" s="5" t="s">
        <v>44</v>
      </c>
      <c r="E240" s="12">
        <f>31050/18*9</f>
        <v>15525</v>
      </c>
      <c r="F240" s="13">
        <v>2</v>
      </c>
      <c r="G240" s="12">
        <f t="shared" si="7"/>
        <v>31050</v>
      </c>
      <c r="H240" s="14">
        <v>0.5</v>
      </c>
      <c r="I240" s="12">
        <f t="shared" si="8"/>
        <v>15500</v>
      </c>
      <c r="J240" s="20" t="s">
        <v>466</v>
      </c>
      <c r="K240" s="15"/>
      <c r="L240" s="15" t="s">
        <v>467</v>
      </c>
      <c r="M240" s="15"/>
      <c r="N240" s="15"/>
      <c r="O240" s="15"/>
      <c r="P240" s="15"/>
      <c r="Q240" s="15"/>
      <c r="R240" s="15"/>
      <c r="S240" s="15"/>
    </row>
    <row r="241" ht="15" customHeight="true" spans="1:19">
      <c r="A241" s="5">
        <v>238</v>
      </c>
      <c r="B241" s="5" t="s">
        <v>28</v>
      </c>
      <c r="C241" s="5" t="s">
        <v>468</v>
      </c>
      <c r="D241" s="5" t="s">
        <v>44</v>
      </c>
      <c r="E241" s="12">
        <f>24150/14*9</f>
        <v>15525</v>
      </c>
      <c r="F241" s="13">
        <v>1</v>
      </c>
      <c r="G241" s="12">
        <f t="shared" si="7"/>
        <v>15525</v>
      </c>
      <c r="H241" s="14">
        <v>0.5</v>
      </c>
      <c r="I241" s="12">
        <f t="shared" si="8"/>
        <v>7700</v>
      </c>
      <c r="J241" s="20" t="s">
        <v>456</v>
      </c>
      <c r="K241" s="15"/>
      <c r="L241" s="15"/>
      <c r="M241" s="15"/>
      <c r="N241" s="15"/>
      <c r="O241" s="15"/>
      <c r="P241" s="15"/>
      <c r="Q241" s="15"/>
      <c r="R241" s="15"/>
      <c r="S241" s="15"/>
    </row>
    <row r="242" ht="15" customHeight="true" spans="1:19">
      <c r="A242" s="5">
        <v>239</v>
      </c>
      <c r="B242" s="5" t="s">
        <v>28</v>
      </c>
      <c r="C242" s="5" t="s">
        <v>210</v>
      </c>
      <c r="D242" s="5" t="s">
        <v>44</v>
      </c>
      <c r="E242" s="12">
        <f>(34050-3000)/18*9</f>
        <v>15525</v>
      </c>
      <c r="F242" s="13">
        <v>2</v>
      </c>
      <c r="G242" s="12">
        <f t="shared" si="7"/>
        <v>31050</v>
      </c>
      <c r="H242" s="14">
        <v>0.5</v>
      </c>
      <c r="I242" s="12">
        <f t="shared" si="8"/>
        <v>15500</v>
      </c>
      <c r="J242" s="20" t="s">
        <v>456</v>
      </c>
      <c r="K242" s="15"/>
      <c r="L242" s="15"/>
      <c r="M242" s="15"/>
      <c r="N242" s="15"/>
      <c r="O242" s="15"/>
      <c r="P242" s="15"/>
      <c r="Q242" s="15"/>
      <c r="R242" s="15"/>
      <c r="S242" s="15"/>
    </row>
    <row r="243" ht="15" customHeight="true" spans="1:19">
      <c r="A243" s="5">
        <v>240</v>
      </c>
      <c r="B243" s="5" t="s">
        <v>112</v>
      </c>
      <c r="C243" s="5" t="s">
        <v>197</v>
      </c>
      <c r="D243" s="5" t="s">
        <v>15</v>
      </c>
      <c r="E243" s="12">
        <f>36848/4</f>
        <v>9212</v>
      </c>
      <c r="F243" s="13">
        <v>2</v>
      </c>
      <c r="G243" s="12">
        <f t="shared" si="7"/>
        <v>18424</v>
      </c>
      <c r="H243" s="14">
        <v>0.5</v>
      </c>
      <c r="I243" s="12">
        <f t="shared" si="8"/>
        <v>9200</v>
      </c>
      <c r="J243" s="20"/>
      <c r="K243" s="15"/>
      <c r="L243" s="15"/>
      <c r="M243" s="15"/>
      <c r="N243" s="15"/>
      <c r="O243" s="15"/>
      <c r="P243" s="15"/>
      <c r="Q243" s="15"/>
      <c r="R243" s="15"/>
      <c r="S243" s="15"/>
    </row>
    <row r="244" ht="15" customHeight="true" spans="1:19">
      <c r="A244" s="5">
        <v>241</v>
      </c>
      <c r="B244" s="5" t="s">
        <v>98</v>
      </c>
      <c r="C244" s="5" t="s">
        <v>469</v>
      </c>
      <c r="D244" s="5" t="s">
        <v>15</v>
      </c>
      <c r="E244" s="12">
        <f>171000/90*9</f>
        <v>17100</v>
      </c>
      <c r="F244" s="13">
        <v>2</v>
      </c>
      <c r="G244" s="12">
        <f t="shared" si="7"/>
        <v>34200</v>
      </c>
      <c r="H244" s="14">
        <v>0.5</v>
      </c>
      <c r="I244" s="12">
        <f t="shared" si="8"/>
        <v>17100</v>
      </c>
      <c r="J244" s="20" t="s">
        <v>470</v>
      </c>
      <c r="K244" s="15"/>
      <c r="L244" s="15"/>
      <c r="M244" s="15"/>
      <c r="N244" s="15"/>
      <c r="O244" s="15"/>
      <c r="P244" s="15"/>
      <c r="Q244" s="15"/>
      <c r="R244" s="15"/>
      <c r="S244" s="15"/>
    </row>
    <row r="245" ht="15" customHeight="true" spans="1:19">
      <c r="A245" s="5">
        <v>242</v>
      </c>
      <c r="B245" s="5" t="s">
        <v>21</v>
      </c>
      <c r="C245" s="5" t="s">
        <v>471</v>
      </c>
      <c r="D245" s="5" t="s">
        <v>15</v>
      </c>
      <c r="E245" s="12">
        <f>(288000)/180*9</f>
        <v>14400</v>
      </c>
      <c r="F245" s="13">
        <v>2</v>
      </c>
      <c r="G245" s="12">
        <f t="shared" si="7"/>
        <v>28800</v>
      </c>
      <c r="H245" s="14">
        <v>0.5</v>
      </c>
      <c r="I245" s="12">
        <f t="shared" si="8"/>
        <v>14400</v>
      </c>
      <c r="J245" s="20"/>
      <c r="K245" s="15"/>
      <c r="L245" s="15"/>
      <c r="M245" s="15"/>
      <c r="N245" s="15"/>
      <c r="O245" s="15"/>
      <c r="P245" s="15"/>
      <c r="Q245" s="15"/>
      <c r="R245" s="15"/>
      <c r="S245" s="15"/>
    </row>
    <row r="246" ht="15" customHeight="true" spans="1:19">
      <c r="A246" s="5">
        <v>243</v>
      </c>
      <c r="B246" s="5" t="s">
        <v>21</v>
      </c>
      <c r="C246" s="5" t="s">
        <v>472</v>
      </c>
      <c r="D246" s="5" t="s">
        <v>15</v>
      </c>
      <c r="E246" s="12">
        <f>(34000)/4</f>
        <v>8500</v>
      </c>
      <c r="F246" s="13">
        <v>2</v>
      </c>
      <c r="G246" s="12">
        <f t="shared" si="7"/>
        <v>17000</v>
      </c>
      <c r="H246" s="14">
        <v>0.5</v>
      </c>
      <c r="I246" s="12">
        <f t="shared" si="8"/>
        <v>8500</v>
      </c>
      <c r="J246" s="20"/>
      <c r="K246" s="15"/>
      <c r="L246" s="15"/>
      <c r="M246" s="15"/>
      <c r="N246" s="15"/>
      <c r="O246" s="15"/>
      <c r="P246" s="15"/>
      <c r="Q246" s="15"/>
      <c r="R246" s="15"/>
      <c r="S246" s="15"/>
    </row>
    <row r="247" ht="15" customHeight="true" spans="1:19">
      <c r="A247" s="5">
        <v>244</v>
      </c>
      <c r="B247" s="5" t="s">
        <v>98</v>
      </c>
      <c r="C247" s="5" t="s">
        <v>473</v>
      </c>
      <c r="D247" s="5" t="s">
        <v>15</v>
      </c>
      <c r="E247" s="12">
        <f>(129600)/81*9</f>
        <v>14400</v>
      </c>
      <c r="F247" s="13">
        <v>2</v>
      </c>
      <c r="G247" s="12">
        <f t="shared" si="7"/>
        <v>28800</v>
      </c>
      <c r="H247" s="14">
        <v>0.5</v>
      </c>
      <c r="I247" s="12">
        <f t="shared" si="8"/>
        <v>14400</v>
      </c>
      <c r="J247" s="20"/>
      <c r="K247" s="15"/>
      <c r="L247" s="15"/>
      <c r="M247" s="15"/>
      <c r="N247" s="15"/>
      <c r="O247" s="15"/>
      <c r="P247" s="15"/>
      <c r="Q247" s="15"/>
      <c r="R247" s="15"/>
      <c r="S247" s="15"/>
    </row>
    <row r="248" ht="15" customHeight="true" spans="1:19">
      <c r="A248" s="5">
        <v>245</v>
      </c>
      <c r="B248" s="5" t="s">
        <v>98</v>
      </c>
      <c r="C248" s="5" t="s">
        <v>102</v>
      </c>
      <c r="D248" s="5" t="s">
        <v>15</v>
      </c>
      <c r="E248" s="12">
        <f>41600/4</f>
        <v>10400</v>
      </c>
      <c r="F248" s="13">
        <v>2</v>
      </c>
      <c r="G248" s="12">
        <f t="shared" si="7"/>
        <v>20800</v>
      </c>
      <c r="H248" s="14">
        <v>0.5</v>
      </c>
      <c r="I248" s="12">
        <f t="shared" si="8"/>
        <v>10400</v>
      </c>
      <c r="J248" s="20"/>
      <c r="K248" s="15"/>
      <c r="L248" s="15"/>
      <c r="M248" s="15"/>
      <c r="N248" s="15"/>
      <c r="O248" s="15"/>
      <c r="P248" s="15"/>
      <c r="Q248" s="15"/>
      <c r="R248" s="15"/>
      <c r="S248" s="15"/>
    </row>
    <row r="249" ht="15" customHeight="true" spans="1:19">
      <c r="A249" s="5">
        <v>246</v>
      </c>
      <c r="B249" s="5" t="s">
        <v>28</v>
      </c>
      <c r="C249" s="5" t="s">
        <v>474</v>
      </c>
      <c r="D249" s="5" t="s">
        <v>44</v>
      </c>
      <c r="E249" s="12">
        <f>(34500)/20*9</f>
        <v>15525</v>
      </c>
      <c r="F249" s="13">
        <v>2</v>
      </c>
      <c r="G249" s="12">
        <f t="shared" si="7"/>
        <v>31050</v>
      </c>
      <c r="H249" s="14">
        <v>0.5</v>
      </c>
      <c r="I249" s="12">
        <f t="shared" si="8"/>
        <v>15500</v>
      </c>
      <c r="J249" s="20" t="s">
        <v>456</v>
      </c>
      <c r="K249" s="15"/>
      <c r="L249" s="15"/>
      <c r="M249" s="15"/>
      <c r="N249" s="15"/>
      <c r="O249" s="15"/>
      <c r="P249" s="15"/>
      <c r="Q249" s="15"/>
      <c r="R249" s="15"/>
      <c r="S249" s="15"/>
    </row>
    <row r="250" ht="15" customHeight="true" spans="1:19">
      <c r="A250" s="5">
        <v>247</v>
      </c>
      <c r="B250" s="5" t="s">
        <v>28</v>
      </c>
      <c r="C250" s="5" t="s">
        <v>475</v>
      </c>
      <c r="D250" s="5" t="s">
        <v>44</v>
      </c>
      <c r="E250" s="12">
        <f>27600/16*9</f>
        <v>15525</v>
      </c>
      <c r="F250" s="13">
        <v>1</v>
      </c>
      <c r="G250" s="12">
        <f t="shared" si="7"/>
        <v>15525</v>
      </c>
      <c r="H250" s="14">
        <v>0.5</v>
      </c>
      <c r="I250" s="12">
        <f t="shared" si="8"/>
        <v>7700</v>
      </c>
      <c r="J250" s="20" t="s">
        <v>456</v>
      </c>
      <c r="K250" s="15"/>
      <c r="L250" s="15" t="s">
        <v>476</v>
      </c>
      <c r="M250" s="15"/>
      <c r="N250" s="15"/>
      <c r="O250" s="15"/>
      <c r="P250" s="15"/>
      <c r="Q250" s="15"/>
      <c r="R250" s="15"/>
      <c r="S250" s="15"/>
    </row>
    <row r="251" ht="15" customHeight="true" spans="1:19">
      <c r="A251" s="5">
        <v>248</v>
      </c>
      <c r="B251" s="5" t="s">
        <v>28</v>
      </c>
      <c r="C251" s="5" t="s">
        <v>312</v>
      </c>
      <c r="D251" s="5" t="s">
        <v>44</v>
      </c>
      <c r="E251" s="12">
        <f>51750/30*9</f>
        <v>15525</v>
      </c>
      <c r="F251" s="13">
        <v>2</v>
      </c>
      <c r="G251" s="12">
        <f t="shared" si="7"/>
        <v>31050</v>
      </c>
      <c r="H251" s="14">
        <v>0.5</v>
      </c>
      <c r="I251" s="12">
        <f t="shared" si="8"/>
        <v>15500</v>
      </c>
      <c r="J251" s="20" t="s">
        <v>456</v>
      </c>
      <c r="K251" s="15"/>
      <c r="L251" s="15"/>
      <c r="M251" s="15"/>
      <c r="N251" s="15"/>
      <c r="O251" s="15"/>
      <c r="P251" s="15"/>
      <c r="Q251" s="15"/>
      <c r="R251" s="15"/>
      <c r="S251" s="15"/>
    </row>
    <row r="252" ht="15" customHeight="true" spans="1:19">
      <c r="A252" s="5">
        <v>249</v>
      </c>
      <c r="B252" s="5" t="s">
        <v>28</v>
      </c>
      <c r="C252" s="5" t="s">
        <v>242</v>
      </c>
      <c r="D252" s="5" t="s">
        <v>44</v>
      </c>
      <c r="E252" s="12">
        <f>20700/12*9</f>
        <v>15525</v>
      </c>
      <c r="F252" s="13">
        <v>1</v>
      </c>
      <c r="G252" s="12">
        <f t="shared" si="7"/>
        <v>15525</v>
      </c>
      <c r="H252" s="14">
        <v>0.5</v>
      </c>
      <c r="I252" s="12">
        <f t="shared" si="8"/>
        <v>7700</v>
      </c>
      <c r="J252" s="20" t="s">
        <v>456</v>
      </c>
      <c r="K252" s="15"/>
      <c r="L252" s="15"/>
      <c r="M252" s="15"/>
      <c r="N252" s="15"/>
      <c r="O252" s="15"/>
      <c r="P252" s="15"/>
      <c r="Q252" s="15"/>
      <c r="R252" s="15"/>
      <c r="S252" s="15"/>
    </row>
    <row r="253" ht="15" customHeight="true" spans="1:19">
      <c r="A253" s="5">
        <v>250</v>
      </c>
      <c r="B253" s="5" t="s">
        <v>452</v>
      </c>
      <c r="C253" s="5" t="s">
        <v>477</v>
      </c>
      <c r="D253" s="5" t="s">
        <v>109</v>
      </c>
      <c r="E253" s="12">
        <v>4000</v>
      </c>
      <c r="F253" s="13">
        <v>1</v>
      </c>
      <c r="G253" s="12">
        <f t="shared" si="7"/>
        <v>4000</v>
      </c>
      <c r="H253" s="14">
        <v>0.5</v>
      </c>
      <c r="I253" s="12">
        <f t="shared" si="8"/>
        <v>2000</v>
      </c>
      <c r="J253" s="20" t="s">
        <v>478</v>
      </c>
      <c r="K253" s="15"/>
      <c r="L253" s="15"/>
      <c r="M253" s="15"/>
      <c r="N253" s="15"/>
      <c r="O253" s="15"/>
      <c r="P253" s="15"/>
      <c r="Q253" s="15"/>
      <c r="R253" s="15"/>
      <c r="S253" s="15"/>
    </row>
    <row r="254" ht="15" customHeight="true" spans="1:19">
      <c r="A254" s="5">
        <v>251</v>
      </c>
      <c r="B254" s="5" t="s">
        <v>13</v>
      </c>
      <c r="C254" s="5" t="s">
        <v>266</v>
      </c>
      <c r="D254" s="5" t="s">
        <v>58</v>
      </c>
      <c r="E254" s="12">
        <v>16650</v>
      </c>
      <c r="F254" s="13">
        <v>1</v>
      </c>
      <c r="G254" s="12">
        <f t="shared" si="7"/>
        <v>16650</v>
      </c>
      <c r="H254" s="14">
        <v>0.5</v>
      </c>
      <c r="I254" s="12">
        <f t="shared" si="8"/>
        <v>8300</v>
      </c>
      <c r="J254" s="20" t="s">
        <v>454</v>
      </c>
      <c r="K254" s="15"/>
      <c r="L254" s="15"/>
      <c r="M254" s="15" t="s">
        <v>479</v>
      </c>
      <c r="N254" s="15"/>
      <c r="O254" s="15"/>
      <c r="P254" s="15"/>
      <c r="Q254" s="15"/>
      <c r="R254" s="15" t="s">
        <v>481</v>
      </c>
      <c r="S254" s="15" t="s">
        <v>482</v>
      </c>
    </row>
    <row r="255" ht="15" customHeight="true" spans="1:19">
      <c r="A255" s="21"/>
      <c r="B255" s="22" t="s">
        <v>260</v>
      </c>
      <c r="C255" s="22"/>
      <c r="D255" s="22"/>
      <c r="E255" s="23">
        <f>SUM(E4:E254)</f>
        <v>3769954.36137058</v>
      </c>
      <c r="F255" s="23"/>
      <c r="G255" s="23">
        <f>SUM(G4:G254)</f>
        <v>6333476.72274115</v>
      </c>
      <c r="H255" s="23"/>
      <c r="I255" s="23">
        <f>SUM(I4:I254)</f>
        <v>3161200</v>
      </c>
      <c r="J255" s="21"/>
      <c r="K255" s="24"/>
      <c r="L255" s="24"/>
      <c r="M255" s="24"/>
      <c r="N255" s="24"/>
      <c r="O255" s="24"/>
      <c r="P255" s="24"/>
      <c r="Q255" s="24"/>
      <c r="R255" s="24"/>
      <c r="S255" s="24"/>
    </row>
  </sheetData>
  <autoFilter ref="A3:J255">
    <filterColumn colId="9">
      <filters>
        <filter val="10,000.00"/>
        <filter val="14,400.00"/>
        <filter val="19,800.00"/>
        <filter val="16,800.00"/>
      </filters>
    </filterColumn>
    <extLst/>
  </autoFilter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ALL</vt:lpstr>
      <vt:lpstr>报告版</vt:lpstr>
      <vt:lpstr>2020年报告版</vt:lpstr>
      <vt:lpstr>2019年审核明细表-原表</vt:lpstr>
      <vt:lpstr>2019年审核明细表-1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sugon</cp:lastModifiedBy>
  <dcterms:created xsi:type="dcterms:W3CDTF">2021-05-01T16:21:00Z</dcterms:created>
  <cp:lastPrinted>2021-07-01T10:57:00Z</cp:lastPrinted>
  <dcterms:modified xsi:type="dcterms:W3CDTF">2021-10-07T15:29:52Z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